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ubens\Desktop\Engenharia\RUBENS\AVANÇAR CIDADES\1 REVISAO 2910\"/>
    </mc:Choice>
  </mc:AlternateContent>
  <bookViews>
    <workbookView xWindow="0" yWindow="0" windowWidth="28800" windowHeight="12435" tabRatio="906" activeTab="5"/>
  </bookViews>
  <sheets>
    <sheet name="cronograma" sheetId="15" r:id="rId1"/>
    <sheet name="resumo" sheetId="1" r:id="rId2"/>
    <sheet name="leonor" sheetId="12" r:id="rId3"/>
    <sheet name="alice" sheetId="10" r:id="rId4"/>
    <sheet name="jose" sheetId="14" r:id="rId5"/>
    <sheet name="juvencio" sheetId="13" r:id="rId6"/>
  </sheets>
  <externalReferences>
    <externalReference r:id="rId7"/>
  </externalReferences>
  <definedNames>
    <definedName name="_xlnm._FilterDatabase" localSheetId="3" hidden="1">alice!$A$6:$W$6</definedName>
    <definedName name="_xlnm._FilterDatabase" localSheetId="4" hidden="1">jose!$A$6:$V$6</definedName>
    <definedName name="_xlnm._FilterDatabase" localSheetId="5" hidden="1">juvencio!$A$6:$W$6</definedName>
    <definedName name="_xlnm._FilterDatabase" localSheetId="2" hidden="1">leonor!$A$6:$W$6</definedName>
    <definedName name="_xlnm._FilterDatabase" localSheetId="1" hidden="1">resumo!$A$6:$W$6</definedName>
    <definedName name="_xlnm.Print_Area" localSheetId="3">alice!$A$1:$H$56</definedName>
    <definedName name="_xlnm.Print_Area" localSheetId="0">cronograma!$B$1:$T$55</definedName>
    <definedName name="_xlnm.Print_Area" localSheetId="4">jose!$A$1:$H$56</definedName>
    <definedName name="_xlnm.Print_Area" localSheetId="5">juvencio!$A$1:$H$56</definedName>
    <definedName name="_xlnm.Print_Area" localSheetId="2">leonor!$A$1:$H$56</definedName>
    <definedName name="_xlnm.Print_Area" localSheetId="1">resumo!$A$1:$H$56</definedName>
    <definedName name="_xlnm.Print_Titles" localSheetId="3">alice!$5:$6</definedName>
    <definedName name="_xlnm.Print_Titles" localSheetId="4">jose!$5:$6</definedName>
    <definedName name="_xlnm.Print_Titles" localSheetId="5">juvencio!$5:$6</definedName>
    <definedName name="_xlnm.Print_Titles" localSheetId="2">leonor!$5:$6</definedName>
    <definedName name="_xlnm.Print_Titles" localSheetId="1">resumo!$5:$6</definedName>
  </definedNames>
  <calcPr calcId="152511"/>
</workbook>
</file>

<file path=xl/calcChain.xml><?xml version="1.0" encoding="utf-8"?>
<calcChain xmlns="http://schemas.openxmlformats.org/spreadsheetml/2006/main">
  <c r="P19" i="15" l="1"/>
  <c r="A19" i="15"/>
  <c r="A18" i="15"/>
  <c r="P17" i="15"/>
  <c r="A17" i="15"/>
  <c r="P16" i="15"/>
  <c r="O16" i="15"/>
  <c r="A16" i="15"/>
  <c r="P15" i="15"/>
  <c r="O15" i="15"/>
  <c r="N15" i="15"/>
  <c r="A15" i="15"/>
  <c r="Q14" i="15"/>
  <c r="A14" i="15"/>
  <c r="P13" i="15"/>
  <c r="A13" i="15"/>
  <c r="P12" i="15"/>
  <c r="O12" i="15"/>
  <c r="A12" i="15"/>
  <c r="P11" i="15"/>
  <c r="O11" i="15"/>
  <c r="N11" i="15"/>
  <c r="A11" i="15"/>
  <c r="Q10" i="15"/>
  <c r="A10" i="15"/>
  <c r="P9" i="15"/>
  <c r="A9" i="15"/>
  <c r="Q8" i="15"/>
  <c r="Q7" i="15"/>
  <c r="Q6" i="15"/>
  <c r="Q18" i="15" s="1"/>
  <c r="P6" i="15"/>
  <c r="P24" i="15" s="1"/>
  <c r="O6" i="15"/>
  <c r="N6" i="15"/>
  <c r="N19" i="15" s="1"/>
  <c r="M6" i="15"/>
  <c r="M24" i="15" s="1"/>
  <c r="L6" i="15"/>
  <c r="L24" i="15" s="1"/>
  <c r="K6" i="15"/>
  <c r="J6" i="15"/>
  <c r="J24" i="15" s="1"/>
  <c r="I6" i="15"/>
  <c r="H6" i="15"/>
  <c r="H24" i="15" s="1"/>
  <c r="G6" i="15"/>
  <c r="G24" i="15" s="1"/>
  <c r="F6" i="15"/>
  <c r="S4" i="15"/>
  <c r="K3" i="15"/>
  <c r="I3" i="15"/>
  <c r="M3" i="15" s="1"/>
  <c r="F7" i="15" s="1"/>
  <c r="F8" i="15" s="1"/>
  <c r="T2" i="15"/>
  <c r="L41" i="15" l="1"/>
  <c r="P41" i="15"/>
  <c r="P42" i="15"/>
  <c r="T3" i="15"/>
  <c r="T4" i="15"/>
  <c r="F39" i="15"/>
  <c r="F40" i="15"/>
  <c r="K39" i="15"/>
  <c r="K40" i="15"/>
  <c r="L42" i="15"/>
  <c r="G39" i="15"/>
  <c r="G40" i="15"/>
  <c r="O39" i="15"/>
  <c r="O40" i="15"/>
  <c r="I24" i="15"/>
  <c r="Q15" i="15"/>
  <c r="W15" i="15" s="1"/>
  <c r="Q11" i="15"/>
  <c r="Q24" i="15"/>
  <c r="Q13" i="15"/>
  <c r="Q9" i="15"/>
  <c r="Q16" i="15"/>
  <c r="Q12" i="15"/>
  <c r="Q19" i="15"/>
  <c r="Q17" i="15"/>
  <c r="H41" i="15"/>
  <c r="H42" i="15"/>
  <c r="N10" i="15"/>
  <c r="H40" i="15"/>
  <c r="H39" i="15"/>
  <c r="N18" i="15"/>
  <c r="F24" i="15"/>
  <c r="N24" i="15"/>
  <c r="O24" i="15"/>
  <c r="O19" i="15"/>
  <c r="O8" i="15"/>
  <c r="O10" i="15"/>
  <c r="N13" i="15"/>
  <c r="O14" i="15"/>
  <c r="N17" i="15"/>
  <c r="O18" i="15"/>
  <c r="N7" i="15"/>
  <c r="N8" i="15"/>
  <c r="N14" i="15"/>
  <c r="L40" i="15"/>
  <c r="L39" i="15"/>
  <c r="P40" i="15"/>
  <c r="P39" i="15"/>
  <c r="K24" i="15"/>
  <c r="G7" i="15"/>
  <c r="G8" i="15" s="1"/>
  <c r="H7" i="15" s="1"/>
  <c r="H8" i="15" s="1"/>
  <c r="I7" i="15" s="1"/>
  <c r="I8" i="15" s="1"/>
  <c r="J7" i="15" s="1"/>
  <c r="J8" i="15" s="1"/>
  <c r="K7" i="15" s="1"/>
  <c r="K8" i="15" s="1"/>
  <c r="L7" i="15" s="1"/>
  <c r="L8" i="15" s="1"/>
  <c r="M7" i="15" s="1"/>
  <c r="M8" i="15" s="1"/>
  <c r="O7" i="15"/>
  <c r="N9" i="15"/>
  <c r="P7" i="15"/>
  <c r="P8" i="15"/>
  <c r="O9" i="15"/>
  <c r="P10" i="15"/>
  <c r="N12" i="15"/>
  <c r="O13" i="15"/>
  <c r="P14" i="15"/>
  <c r="N16" i="15"/>
  <c r="O17" i="15"/>
  <c r="P18" i="15"/>
  <c r="W16" i="15" l="1"/>
  <c r="O41" i="15"/>
  <c r="O42" i="15"/>
  <c r="Q41" i="15"/>
  <c r="Q42" i="15"/>
  <c r="N42" i="15"/>
  <c r="N41" i="15"/>
  <c r="W10" i="15"/>
  <c r="W13" i="15"/>
  <c r="W9" i="15"/>
  <c r="J42" i="15"/>
  <c r="J41" i="15"/>
  <c r="M41" i="15"/>
  <c r="M42" i="15"/>
  <c r="J39" i="15"/>
  <c r="J40" i="15"/>
  <c r="W14" i="15"/>
  <c r="M39" i="15"/>
  <c r="M40" i="15"/>
  <c r="K42" i="15"/>
  <c r="K41" i="15"/>
  <c r="W12" i="15"/>
  <c r="I41" i="15"/>
  <c r="I42" i="15"/>
  <c r="W19" i="15"/>
  <c r="G42" i="15"/>
  <c r="G41" i="15"/>
  <c r="N40" i="15"/>
  <c r="N39" i="15"/>
  <c r="W18" i="15"/>
  <c r="F42" i="15"/>
  <c r="W17" i="15"/>
  <c r="F41" i="15"/>
  <c r="Q39" i="15"/>
  <c r="Q40" i="15"/>
  <c r="I40" i="15"/>
  <c r="I39" i="15"/>
  <c r="W11" i="15"/>
  <c r="S40" i="15" l="1"/>
  <c r="R39" i="15"/>
  <c r="S39" i="15"/>
  <c r="R40" i="15"/>
  <c r="S41" i="15"/>
  <c r="R41" i="15"/>
  <c r="R42" i="15"/>
  <c r="S42" i="15"/>
  <c r="G11" i="10" l="1"/>
  <c r="J47" i="1"/>
  <c r="J34" i="1"/>
  <c r="J30" i="1"/>
  <c r="J24" i="1"/>
  <c r="J21" i="1"/>
  <c r="J17" i="1"/>
  <c r="J13" i="1"/>
  <c r="J9" i="1"/>
  <c r="E54" i="1"/>
  <c r="E53" i="1"/>
  <c r="E52" i="1"/>
  <c r="E51" i="1"/>
  <c r="E50" i="1"/>
  <c r="E49" i="1"/>
  <c r="E48" i="1"/>
  <c r="E46" i="1"/>
  <c r="E45" i="1"/>
  <c r="E44" i="1"/>
  <c r="E43" i="1"/>
  <c r="E42" i="1"/>
  <c r="E41" i="1"/>
  <c r="E40" i="1"/>
  <c r="E39" i="1"/>
  <c r="E38" i="1"/>
  <c r="E37" i="1"/>
  <c r="E36" i="1"/>
  <c r="E35" i="1"/>
  <c r="E33" i="1"/>
  <c r="E32" i="1"/>
  <c r="E31" i="1"/>
  <c r="E29" i="1"/>
  <c r="E28" i="1"/>
  <c r="E27" i="1"/>
  <c r="E26" i="1"/>
  <c r="E25" i="1"/>
  <c r="E23" i="1"/>
  <c r="E22" i="1"/>
  <c r="E20" i="1"/>
  <c r="E19" i="1"/>
  <c r="E18" i="1"/>
  <c r="E16" i="1"/>
  <c r="E15" i="1"/>
  <c r="E14" i="1"/>
  <c r="E12" i="1"/>
  <c r="E11" i="1"/>
  <c r="E10" i="1"/>
  <c r="E8" i="1"/>
  <c r="F55" i="14" l="1"/>
  <c r="G55" i="14" s="1"/>
  <c r="G54" i="14"/>
  <c r="J54" i="1" s="1"/>
  <c r="F54" i="14"/>
  <c r="F53" i="14"/>
  <c r="G53" i="14" s="1"/>
  <c r="J53" i="1" s="1"/>
  <c r="F52" i="14"/>
  <c r="G52" i="14" s="1"/>
  <c r="J52" i="1" s="1"/>
  <c r="F51" i="14"/>
  <c r="G51" i="14" s="1"/>
  <c r="J51" i="1" s="1"/>
  <c r="F50" i="14"/>
  <c r="G50" i="14" s="1"/>
  <c r="J50" i="1" s="1"/>
  <c r="F49" i="14"/>
  <c r="G49" i="14" s="1"/>
  <c r="J49" i="1" s="1"/>
  <c r="F48" i="14"/>
  <c r="G48" i="14" s="1"/>
  <c r="J48" i="1" s="1"/>
  <c r="F46" i="14"/>
  <c r="G46" i="14" s="1"/>
  <c r="F45" i="14"/>
  <c r="G45" i="14" s="1"/>
  <c r="F44" i="14"/>
  <c r="G44" i="14" s="1"/>
  <c r="F43" i="14"/>
  <c r="G43" i="14" s="1"/>
  <c r="F42" i="14"/>
  <c r="G42" i="14" s="1"/>
  <c r="F41" i="14"/>
  <c r="G41" i="14" s="1"/>
  <c r="F40" i="14"/>
  <c r="G40" i="14" s="1"/>
  <c r="F39" i="14"/>
  <c r="G39" i="14" s="1"/>
  <c r="F38" i="14"/>
  <c r="G38" i="14" s="1"/>
  <c r="F37" i="14"/>
  <c r="G37" i="14" s="1"/>
  <c r="F36" i="14"/>
  <c r="G36" i="14" s="1"/>
  <c r="F35" i="14"/>
  <c r="G35" i="14" s="1"/>
  <c r="F33" i="14"/>
  <c r="G33" i="14" s="1"/>
  <c r="F32" i="14"/>
  <c r="G32" i="14" s="1"/>
  <c r="J32" i="1" s="1"/>
  <c r="F31" i="14"/>
  <c r="G31" i="14" s="1"/>
  <c r="F29" i="14"/>
  <c r="G29" i="14" s="1"/>
  <c r="J29" i="1" s="1"/>
  <c r="F28" i="14"/>
  <c r="G28" i="14" s="1"/>
  <c r="J28" i="1" s="1"/>
  <c r="F27" i="14"/>
  <c r="G27" i="14" s="1"/>
  <c r="F26" i="14"/>
  <c r="G26" i="14" s="1"/>
  <c r="F25" i="14"/>
  <c r="G25" i="14" s="1"/>
  <c r="J25" i="1" s="1"/>
  <c r="F23" i="14"/>
  <c r="G23" i="14" s="1"/>
  <c r="F22" i="14"/>
  <c r="G22" i="14" s="1"/>
  <c r="F20" i="14"/>
  <c r="G20" i="14" s="1"/>
  <c r="J20" i="1" s="1"/>
  <c r="F19" i="14"/>
  <c r="G19" i="14" s="1"/>
  <c r="J19" i="1" s="1"/>
  <c r="F18" i="14"/>
  <c r="G18" i="14" s="1"/>
  <c r="F16" i="14"/>
  <c r="G16" i="14" s="1"/>
  <c r="F15" i="14"/>
  <c r="G15" i="14" s="1"/>
  <c r="F14" i="14"/>
  <c r="G14" i="14" s="1"/>
  <c r="J14" i="1" s="1"/>
  <c r="F12" i="14"/>
  <c r="G12" i="14" s="1"/>
  <c r="J12" i="1" s="1"/>
  <c r="F11" i="14"/>
  <c r="G11" i="14" s="1"/>
  <c r="J11" i="1" s="1"/>
  <c r="F10" i="14"/>
  <c r="G10" i="14" s="1"/>
  <c r="J10" i="1" s="1"/>
  <c r="G8" i="14"/>
  <c r="F8" i="14"/>
  <c r="F55" i="13"/>
  <c r="G55" i="13" s="1"/>
  <c r="G54" i="13"/>
  <c r="F54" i="13"/>
  <c r="F53" i="13"/>
  <c r="G53" i="13" s="1"/>
  <c r="G52" i="13"/>
  <c r="F52" i="13"/>
  <c r="F51" i="13"/>
  <c r="G51" i="13" s="1"/>
  <c r="G50" i="13"/>
  <c r="F50" i="13"/>
  <c r="F49" i="13"/>
  <c r="G49" i="13" s="1"/>
  <c r="G48" i="13"/>
  <c r="F48" i="13"/>
  <c r="F46" i="13"/>
  <c r="G46" i="13" s="1"/>
  <c r="F45" i="13"/>
  <c r="G45" i="13" s="1"/>
  <c r="F44" i="13"/>
  <c r="G44" i="13" s="1"/>
  <c r="J44" i="1" s="1"/>
  <c r="F43" i="13"/>
  <c r="G43" i="13" s="1"/>
  <c r="F42" i="13"/>
  <c r="G42" i="13" s="1"/>
  <c r="F41" i="13"/>
  <c r="G41" i="13" s="1"/>
  <c r="F40" i="13"/>
  <c r="G40" i="13" s="1"/>
  <c r="F39" i="13"/>
  <c r="G39" i="13" s="1"/>
  <c r="F38" i="13"/>
  <c r="G38" i="13" s="1"/>
  <c r="F37" i="13"/>
  <c r="G37" i="13" s="1"/>
  <c r="F36" i="13"/>
  <c r="G36" i="13" s="1"/>
  <c r="F35" i="13"/>
  <c r="G35" i="13" s="1"/>
  <c r="G33" i="13"/>
  <c r="F33" i="13"/>
  <c r="F32" i="13"/>
  <c r="G32" i="13" s="1"/>
  <c r="F31" i="13"/>
  <c r="G31" i="13" s="1"/>
  <c r="F29" i="13"/>
  <c r="G29" i="13" s="1"/>
  <c r="F28" i="13"/>
  <c r="G28" i="13" s="1"/>
  <c r="F27" i="13"/>
  <c r="G27" i="13" s="1"/>
  <c r="F26" i="13"/>
  <c r="G26" i="13" s="1"/>
  <c r="F25" i="13"/>
  <c r="G25" i="13" s="1"/>
  <c r="F23" i="13"/>
  <c r="G23" i="13" s="1"/>
  <c r="F22" i="13"/>
  <c r="G22" i="13" s="1"/>
  <c r="F20" i="13"/>
  <c r="G20" i="13" s="1"/>
  <c r="F19" i="13"/>
  <c r="G19" i="13" s="1"/>
  <c r="F18" i="13"/>
  <c r="G18" i="13" s="1"/>
  <c r="F16" i="13"/>
  <c r="G16" i="13" s="1"/>
  <c r="F15" i="13"/>
  <c r="G15" i="13" s="1"/>
  <c r="F14" i="13"/>
  <c r="G14" i="13" s="1"/>
  <c r="F12" i="13"/>
  <c r="G12" i="13" s="1"/>
  <c r="F11" i="13"/>
  <c r="G11" i="13" s="1"/>
  <c r="F10" i="13"/>
  <c r="G10" i="13" s="1"/>
  <c r="G8" i="13"/>
  <c r="F8" i="13"/>
  <c r="F55" i="12"/>
  <c r="G55" i="12" s="1"/>
  <c r="G54" i="12"/>
  <c r="F54" i="12"/>
  <c r="F53" i="12"/>
  <c r="G53" i="12" s="1"/>
  <c r="G52" i="12"/>
  <c r="F52" i="12"/>
  <c r="F51" i="12"/>
  <c r="G51" i="12" s="1"/>
  <c r="G50" i="12"/>
  <c r="F50" i="12"/>
  <c r="F49" i="12"/>
  <c r="G49" i="12" s="1"/>
  <c r="G48" i="12"/>
  <c r="F48" i="12"/>
  <c r="F46" i="12"/>
  <c r="G46" i="12" s="1"/>
  <c r="F45" i="12"/>
  <c r="G45" i="12" s="1"/>
  <c r="F44" i="12"/>
  <c r="G44" i="12" s="1"/>
  <c r="F43" i="12"/>
  <c r="G43" i="12" s="1"/>
  <c r="F42" i="12"/>
  <c r="G42" i="12" s="1"/>
  <c r="F41" i="12"/>
  <c r="G41" i="12" s="1"/>
  <c r="F40" i="12"/>
  <c r="G40" i="12" s="1"/>
  <c r="F39" i="12"/>
  <c r="G39" i="12" s="1"/>
  <c r="F38" i="12"/>
  <c r="G38" i="12" s="1"/>
  <c r="F37" i="12"/>
  <c r="G37" i="12" s="1"/>
  <c r="F36" i="12"/>
  <c r="G36" i="12" s="1"/>
  <c r="F35" i="12"/>
  <c r="G35" i="12" s="1"/>
  <c r="F33" i="12"/>
  <c r="G33" i="12" s="1"/>
  <c r="F32" i="12"/>
  <c r="G32" i="12" s="1"/>
  <c r="F31" i="12"/>
  <c r="G31" i="12" s="1"/>
  <c r="F29" i="12"/>
  <c r="G29" i="12" s="1"/>
  <c r="F28" i="12"/>
  <c r="G28" i="12" s="1"/>
  <c r="F27" i="12"/>
  <c r="G27" i="12" s="1"/>
  <c r="F26" i="12"/>
  <c r="G26" i="12" s="1"/>
  <c r="F25" i="12"/>
  <c r="G25" i="12" s="1"/>
  <c r="F23" i="12"/>
  <c r="G23" i="12" s="1"/>
  <c r="F22" i="12"/>
  <c r="G22" i="12" s="1"/>
  <c r="F20" i="12"/>
  <c r="G20" i="12" s="1"/>
  <c r="F19" i="12"/>
  <c r="G19" i="12" s="1"/>
  <c r="F18" i="12"/>
  <c r="G18" i="12" s="1"/>
  <c r="F16" i="12"/>
  <c r="G16" i="12" s="1"/>
  <c r="F15" i="12"/>
  <c r="G15" i="12" s="1"/>
  <c r="F14" i="12"/>
  <c r="G14" i="12" s="1"/>
  <c r="F12" i="12"/>
  <c r="G12" i="12" s="1"/>
  <c r="F11" i="12"/>
  <c r="G11" i="12" s="1"/>
  <c r="F10" i="12"/>
  <c r="G10" i="12" s="1"/>
  <c r="G8" i="12"/>
  <c r="F8" i="12"/>
  <c r="F55" i="10"/>
  <c r="F54" i="10"/>
  <c r="F53" i="10"/>
  <c r="F52" i="10"/>
  <c r="F51" i="10"/>
  <c r="F50" i="10"/>
  <c r="F49" i="10"/>
  <c r="F48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3" i="10"/>
  <c r="G33" i="10" s="1"/>
  <c r="F32" i="10"/>
  <c r="G32" i="10" s="1"/>
  <c r="F31" i="10"/>
  <c r="G31" i="10" s="1"/>
  <c r="F29" i="10"/>
  <c r="G29" i="10" s="1"/>
  <c r="F28" i="10"/>
  <c r="F27" i="10"/>
  <c r="G27" i="10" s="1"/>
  <c r="F26" i="10"/>
  <c r="G26" i="10" s="1"/>
  <c r="J26" i="1" s="1"/>
  <c r="F25" i="10"/>
  <c r="F23" i="10"/>
  <c r="G23" i="10" s="1"/>
  <c r="F22" i="10"/>
  <c r="G22" i="10" s="1"/>
  <c r="J22" i="1" s="1"/>
  <c r="F20" i="10"/>
  <c r="G20" i="10" s="1"/>
  <c r="F19" i="10"/>
  <c r="F18" i="10"/>
  <c r="F16" i="10"/>
  <c r="F15" i="10"/>
  <c r="F14" i="10"/>
  <c r="G14" i="10" s="1"/>
  <c r="F12" i="10"/>
  <c r="G12" i="10" s="1"/>
  <c r="F11" i="10"/>
  <c r="F10" i="10"/>
  <c r="F8" i="10"/>
  <c r="G8" i="10" s="1"/>
  <c r="J8" i="1" s="1"/>
  <c r="G55" i="10"/>
  <c r="G54" i="10"/>
  <c r="G53" i="10"/>
  <c r="G52" i="10"/>
  <c r="G51" i="10"/>
  <c r="G50" i="10"/>
  <c r="G49" i="10"/>
  <c r="G48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28" i="10"/>
  <c r="G25" i="10"/>
  <c r="G19" i="10"/>
  <c r="G18" i="10"/>
  <c r="J18" i="1" s="1"/>
  <c r="G16" i="10"/>
  <c r="J16" i="1" s="1"/>
  <c r="G15" i="10"/>
  <c r="G10" i="10"/>
  <c r="J55" i="1" l="1"/>
  <c r="J37" i="1"/>
  <c r="J45" i="1"/>
  <c r="J35" i="1"/>
  <c r="J40" i="1"/>
  <c r="J43" i="1"/>
  <c r="J42" i="1"/>
  <c r="J41" i="1"/>
  <c r="J46" i="1"/>
  <c r="J39" i="1"/>
  <c r="J38" i="1"/>
  <c r="J36" i="1"/>
  <c r="J33" i="1"/>
  <c r="J31" i="1"/>
  <c r="J27" i="1"/>
  <c r="J23" i="1"/>
  <c r="J15" i="1"/>
  <c r="H13" i="10"/>
  <c r="H9" i="13"/>
  <c r="H21" i="14"/>
  <c r="H17" i="14"/>
  <c r="H34" i="14"/>
  <c r="H30" i="14"/>
  <c r="H13" i="14"/>
  <c r="G56" i="14"/>
  <c r="H9" i="14"/>
  <c r="G56" i="13"/>
  <c r="H13" i="13"/>
  <c r="H17" i="13"/>
  <c r="H21" i="13"/>
  <c r="H30" i="13"/>
  <c r="H34" i="13"/>
  <c r="H47" i="12"/>
  <c r="H9" i="12"/>
  <c r="H34" i="10"/>
  <c r="H30" i="10"/>
  <c r="H24" i="10"/>
  <c r="H21" i="10"/>
  <c r="H47" i="14"/>
  <c r="H24" i="14"/>
  <c r="H7" i="14"/>
  <c r="H47" i="13"/>
  <c r="H24" i="13"/>
  <c r="H7" i="13"/>
  <c r="H24" i="12"/>
  <c r="G56" i="12"/>
  <c r="H13" i="12"/>
  <c r="H17" i="12"/>
  <c r="H21" i="12"/>
  <c r="H30" i="12"/>
  <c r="H34" i="12"/>
  <c r="H7" i="12"/>
  <c r="H47" i="10"/>
  <c r="H17" i="10"/>
  <c r="H9" i="10"/>
  <c r="G56" i="10"/>
  <c r="H7" i="10"/>
  <c r="G38" i="1"/>
  <c r="H56" i="14" l="1"/>
  <c r="H56" i="13"/>
  <c r="H56" i="12"/>
  <c r="H56" i="10"/>
  <c r="G46" i="1"/>
  <c r="G45" i="1" l="1"/>
  <c r="G39" i="1" l="1"/>
  <c r="G28" i="1" l="1"/>
  <c r="G15" i="1" l="1"/>
  <c r="G10" i="1"/>
  <c r="G12" i="1"/>
  <c r="G55" i="1" l="1"/>
  <c r="H58" i="1" s="1"/>
  <c r="G54" i="1"/>
  <c r="G53" i="1"/>
  <c r="G52" i="1"/>
  <c r="G51" i="1"/>
  <c r="G50" i="1"/>
  <c r="G49" i="1"/>
  <c r="G48" i="1"/>
  <c r="G44" i="1"/>
  <c r="G43" i="1"/>
  <c r="G42" i="1"/>
  <c r="G41" i="1"/>
  <c r="G40" i="1"/>
  <c r="G37" i="1"/>
  <c r="G36" i="1"/>
  <c r="G35" i="1"/>
  <c r="G33" i="1"/>
  <c r="G32" i="1"/>
  <c r="G31" i="1"/>
  <c r="G29" i="1"/>
  <c r="G27" i="1"/>
  <c r="G26" i="1"/>
  <c r="G25" i="1"/>
  <c r="G23" i="1"/>
  <c r="G22" i="1"/>
  <c r="G20" i="1"/>
  <c r="G19" i="1"/>
  <c r="G18" i="1"/>
  <c r="G16" i="1"/>
  <c r="G14" i="1"/>
  <c r="G11" i="1"/>
  <c r="H9" i="1" s="1"/>
  <c r="S10" i="15" s="1"/>
  <c r="G8" i="1"/>
  <c r="I27" i="15" l="1"/>
  <c r="Q28" i="15"/>
  <c r="M28" i="15"/>
  <c r="Q27" i="15"/>
  <c r="I28" i="15"/>
  <c r="M27" i="15"/>
  <c r="K28" i="15"/>
  <c r="H27" i="15"/>
  <c r="J28" i="15"/>
  <c r="L28" i="15"/>
  <c r="N28" i="15"/>
  <c r="F28" i="15"/>
  <c r="G27" i="15"/>
  <c r="P28" i="15"/>
  <c r="L27" i="15"/>
  <c r="F27" i="15"/>
  <c r="K27" i="15"/>
  <c r="H28" i="15"/>
  <c r="G28" i="15"/>
  <c r="P27" i="15"/>
  <c r="O28" i="15"/>
  <c r="J27" i="15"/>
  <c r="O27" i="15"/>
  <c r="N27" i="15"/>
  <c r="H34" i="1"/>
  <c r="S18" i="15" s="1"/>
  <c r="H17" i="1"/>
  <c r="S12" i="15" s="1"/>
  <c r="H30" i="1"/>
  <c r="S15" i="15" s="1"/>
  <c r="H47" i="1"/>
  <c r="S19" i="15" s="1"/>
  <c r="H13" i="1"/>
  <c r="S11" i="15" s="1"/>
  <c r="H24" i="1"/>
  <c r="S14" i="15" s="1"/>
  <c r="H21" i="1"/>
  <c r="S13" i="15" s="1"/>
  <c r="G56" i="1"/>
  <c r="H7" i="1"/>
  <c r="S9" i="15" s="1"/>
  <c r="P45" i="15" l="1"/>
  <c r="F46" i="15"/>
  <c r="P46" i="15"/>
  <c r="L46" i="15"/>
  <c r="F45" i="15"/>
  <c r="L45" i="15"/>
  <c r="H46" i="15"/>
  <c r="N46" i="15"/>
  <c r="G45" i="15"/>
  <c r="G46" i="15"/>
  <c r="J46" i="15"/>
  <c r="N45" i="15"/>
  <c r="J45" i="15"/>
  <c r="H45" i="15"/>
  <c r="Q45" i="15"/>
  <c r="M45" i="15"/>
  <c r="O46" i="15"/>
  <c r="I45" i="15"/>
  <c r="K46" i="15"/>
  <c r="Q46" i="15"/>
  <c r="M46" i="15"/>
  <c r="O45" i="15"/>
  <c r="I46" i="15"/>
  <c r="K45" i="15"/>
  <c r="R27" i="15"/>
  <c r="S27" i="15"/>
  <c r="S28" i="15"/>
  <c r="R28" i="15"/>
  <c r="Q43" i="15"/>
  <c r="I43" i="15"/>
  <c r="M44" i="15"/>
  <c r="K44" i="15"/>
  <c r="Q44" i="15"/>
  <c r="K43" i="15"/>
  <c r="M43" i="15"/>
  <c r="I44" i="15"/>
  <c r="N44" i="15"/>
  <c r="H44" i="15"/>
  <c r="J43" i="15"/>
  <c r="H43" i="15"/>
  <c r="O43" i="15"/>
  <c r="J44" i="15"/>
  <c r="G43" i="15"/>
  <c r="L43" i="15"/>
  <c r="F43" i="15"/>
  <c r="P43" i="15"/>
  <c r="N43" i="15"/>
  <c r="L44" i="15"/>
  <c r="P44" i="15"/>
  <c r="O44" i="15"/>
  <c r="G44" i="15"/>
  <c r="F44" i="15"/>
  <c r="N37" i="15"/>
  <c r="J38" i="15"/>
  <c r="L38" i="15"/>
  <c r="K37" i="15"/>
  <c r="P37" i="15"/>
  <c r="K38" i="15"/>
  <c r="L37" i="15"/>
  <c r="J37" i="15"/>
  <c r="F38" i="15"/>
  <c r="O38" i="15"/>
  <c r="H37" i="15"/>
  <c r="F37" i="15"/>
  <c r="P38" i="15"/>
  <c r="O37" i="15"/>
  <c r="G37" i="15"/>
  <c r="N38" i="15"/>
  <c r="G38" i="15"/>
  <c r="H38" i="15"/>
  <c r="Q38" i="15"/>
  <c r="I38" i="15"/>
  <c r="M38" i="15"/>
  <c r="I37" i="15"/>
  <c r="M37" i="15"/>
  <c r="Q37" i="15"/>
  <c r="I35" i="15"/>
  <c r="Q35" i="15"/>
  <c r="I36" i="15"/>
  <c r="Q36" i="15"/>
  <c r="N35" i="15"/>
  <c r="F35" i="15"/>
  <c r="K36" i="15"/>
  <c r="G35" i="15"/>
  <c r="J36" i="15"/>
  <c r="O36" i="15"/>
  <c r="M35" i="15"/>
  <c r="N36" i="15"/>
  <c r="P36" i="15"/>
  <c r="G36" i="15"/>
  <c r="H36" i="15"/>
  <c r="J35" i="15"/>
  <c r="O35" i="15"/>
  <c r="M36" i="15"/>
  <c r="L36" i="15"/>
  <c r="F36" i="15"/>
  <c r="P35" i="15"/>
  <c r="H35" i="15"/>
  <c r="L35" i="15"/>
  <c r="K35" i="15"/>
  <c r="H33" i="15"/>
  <c r="P34" i="15"/>
  <c r="L34" i="15"/>
  <c r="H34" i="15"/>
  <c r="P33" i="15"/>
  <c r="L33" i="15"/>
  <c r="K34" i="15"/>
  <c r="M33" i="15"/>
  <c r="G33" i="15"/>
  <c r="F34" i="15"/>
  <c r="N34" i="15"/>
  <c r="O33" i="15"/>
  <c r="M34" i="15"/>
  <c r="G34" i="15"/>
  <c r="F33" i="15"/>
  <c r="N33" i="15"/>
  <c r="J34" i="15"/>
  <c r="Q33" i="15"/>
  <c r="I33" i="15"/>
  <c r="J33" i="15"/>
  <c r="K33" i="15"/>
  <c r="Q34" i="15"/>
  <c r="I34" i="15"/>
  <c r="O34" i="15"/>
  <c r="G32" i="15"/>
  <c r="K31" i="15"/>
  <c r="P32" i="15"/>
  <c r="H32" i="15"/>
  <c r="G31" i="15"/>
  <c r="L32" i="15"/>
  <c r="H31" i="15"/>
  <c r="L31" i="15"/>
  <c r="O31" i="15"/>
  <c r="K32" i="15"/>
  <c r="P31" i="15"/>
  <c r="O32" i="15"/>
  <c r="J32" i="15"/>
  <c r="Q31" i="15"/>
  <c r="F32" i="15"/>
  <c r="M31" i="15"/>
  <c r="I31" i="15"/>
  <c r="M32" i="15"/>
  <c r="J31" i="15"/>
  <c r="I32" i="15"/>
  <c r="F31" i="15"/>
  <c r="N31" i="15"/>
  <c r="Q32" i="15"/>
  <c r="N32" i="15"/>
  <c r="H26" i="15"/>
  <c r="P26" i="15"/>
  <c r="L25" i="15"/>
  <c r="L26" i="15"/>
  <c r="H25" i="15"/>
  <c r="P25" i="15"/>
  <c r="J26" i="15"/>
  <c r="Q26" i="15"/>
  <c r="I25" i="15"/>
  <c r="K25" i="15"/>
  <c r="Q25" i="15"/>
  <c r="O25" i="15"/>
  <c r="J25" i="15"/>
  <c r="K26" i="15"/>
  <c r="F25" i="15"/>
  <c r="O26" i="15"/>
  <c r="G25" i="15"/>
  <c r="N25" i="15"/>
  <c r="M26" i="15"/>
  <c r="G26" i="15"/>
  <c r="I26" i="15"/>
  <c r="F26" i="15"/>
  <c r="N26" i="15"/>
  <c r="M25" i="15"/>
  <c r="O29" i="15"/>
  <c r="F29" i="15"/>
  <c r="G29" i="15"/>
  <c r="G30" i="15"/>
  <c r="K29" i="15"/>
  <c r="N29" i="15"/>
  <c r="S21" i="15"/>
  <c r="N30" i="15"/>
  <c r="H29" i="15"/>
  <c r="J30" i="15"/>
  <c r="L29" i="15"/>
  <c r="P29" i="15"/>
  <c r="H30" i="15"/>
  <c r="P30" i="15"/>
  <c r="F30" i="15"/>
  <c r="J29" i="15"/>
  <c r="J48" i="15" s="1"/>
  <c r="O30" i="15"/>
  <c r="Q30" i="15"/>
  <c r="M30" i="15"/>
  <c r="I30" i="15"/>
  <c r="L30" i="15"/>
  <c r="Q29" i="15"/>
  <c r="M29" i="15"/>
  <c r="I29" i="15"/>
  <c r="K30" i="15"/>
  <c r="H56" i="1"/>
  <c r="S46" i="15" l="1"/>
  <c r="R46" i="15"/>
  <c r="S45" i="15"/>
  <c r="R45" i="15"/>
  <c r="P49" i="15"/>
  <c r="N49" i="15"/>
  <c r="J49" i="15"/>
  <c r="J51" i="15" s="1"/>
  <c r="R44" i="15"/>
  <c r="S44" i="15"/>
  <c r="S43" i="15"/>
  <c r="R43" i="15"/>
  <c r="P48" i="15"/>
  <c r="G49" i="15"/>
  <c r="M49" i="15"/>
  <c r="Q49" i="15"/>
  <c r="S37" i="15"/>
  <c r="R37" i="15"/>
  <c r="Q48" i="15"/>
  <c r="R38" i="15"/>
  <c r="S38" i="15"/>
  <c r="S36" i="15"/>
  <c r="R36" i="15"/>
  <c r="G48" i="15"/>
  <c r="S35" i="15"/>
  <c r="R35" i="15"/>
  <c r="H48" i="15"/>
  <c r="R33" i="15"/>
  <c r="S33" i="15"/>
  <c r="N48" i="15"/>
  <c r="S34" i="15"/>
  <c r="R34" i="15"/>
  <c r="L48" i="15"/>
  <c r="R32" i="15"/>
  <c r="S32" i="15"/>
  <c r="H49" i="15"/>
  <c r="S31" i="15"/>
  <c r="R31" i="15"/>
  <c r="M48" i="15"/>
  <c r="M51" i="15" s="1"/>
  <c r="S25" i="15"/>
  <c r="R25" i="15"/>
  <c r="S26" i="15"/>
  <c r="R26" i="15"/>
  <c r="K49" i="15"/>
  <c r="L49" i="15"/>
  <c r="O49" i="15"/>
  <c r="K48" i="15"/>
  <c r="O48" i="15"/>
  <c r="R29" i="15"/>
  <c r="F48" i="15"/>
  <c r="S29" i="15"/>
  <c r="I48" i="15"/>
  <c r="R30" i="15"/>
  <c r="I49" i="15"/>
  <c r="S30" i="15"/>
  <c r="F49" i="15"/>
  <c r="T18" i="15"/>
  <c r="T16" i="15"/>
  <c r="T11" i="15"/>
  <c r="T19" i="15"/>
  <c r="T17" i="15"/>
  <c r="T15" i="15"/>
  <c r="T9" i="15"/>
  <c r="T12" i="15"/>
  <c r="T14" i="15"/>
  <c r="T13" i="15"/>
  <c r="T10" i="15"/>
  <c r="P51" i="15" l="1"/>
  <c r="P53" i="15" s="1"/>
  <c r="N51" i="15"/>
  <c r="N53" i="15" s="1"/>
  <c r="G51" i="15"/>
  <c r="Q51" i="15"/>
  <c r="Q53" i="15" s="1"/>
  <c r="H51" i="15"/>
  <c r="L51" i="15"/>
  <c r="O51" i="15"/>
  <c r="O53" i="15" s="1"/>
  <c r="S48" i="15"/>
  <c r="K51" i="15"/>
  <c r="S49" i="15"/>
  <c r="I51" i="15"/>
  <c r="F51" i="15"/>
  <c r="T21" i="15"/>
  <c r="S52" i="15" l="1"/>
  <c r="S51" i="15"/>
  <c r="S53" i="15" l="1"/>
  <c r="I52" i="15"/>
  <c r="M52" i="15"/>
  <c r="T34" i="15"/>
  <c r="T35" i="15"/>
  <c r="T28" i="15"/>
  <c r="T45" i="15"/>
  <c r="T25" i="15"/>
  <c r="H52" i="15"/>
  <c r="P52" i="15"/>
  <c r="T38" i="15"/>
  <c r="T42" i="15"/>
  <c r="T46" i="15"/>
  <c r="F52" i="15"/>
  <c r="F53" i="15" s="1"/>
  <c r="T26" i="15"/>
  <c r="K52" i="15"/>
  <c r="T27" i="15"/>
  <c r="T31" i="15"/>
  <c r="Q52" i="15"/>
  <c r="T39" i="15"/>
  <c r="T43" i="15"/>
  <c r="T41" i="15"/>
  <c r="T32" i="15"/>
  <c r="T33" i="15"/>
  <c r="N52" i="15"/>
  <c r="T37" i="15"/>
  <c r="J52" i="15"/>
  <c r="T29" i="15"/>
  <c r="T36" i="15"/>
  <c r="G52" i="15"/>
  <c r="L52" i="15"/>
  <c r="T44" i="15"/>
  <c r="O52" i="15"/>
  <c r="T30" i="15"/>
  <c r="T40" i="15"/>
  <c r="X5" i="15"/>
  <c r="G53" i="15" l="1"/>
  <c r="H53" i="15" s="1"/>
  <c r="I53" i="15" s="1"/>
  <c r="T48" i="15"/>
  <c r="T52" i="15"/>
  <c r="T49" i="15"/>
  <c r="J53" i="15"/>
  <c r="K53" i="15" s="1"/>
  <c r="L53" i="15" s="1"/>
  <c r="M53" i="15" s="1"/>
  <c r="T51" i="15" l="1"/>
  <c r="T53" i="15" s="1"/>
</calcChain>
</file>

<file path=xl/sharedStrings.xml><?xml version="1.0" encoding="utf-8"?>
<sst xmlns="http://schemas.openxmlformats.org/spreadsheetml/2006/main" count="1071" uniqueCount="180">
  <si>
    <t>( R$ ) - PM</t>
  </si>
  <si>
    <t>m3</t>
  </si>
  <si>
    <t>m2</t>
  </si>
  <si>
    <t>m</t>
  </si>
  <si>
    <t>ton</t>
  </si>
  <si>
    <t>un</t>
  </si>
  <si>
    <t>BLSC120</t>
  </si>
  <si>
    <t>61040a</t>
  </si>
  <si>
    <t>61060a</t>
  </si>
  <si>
    <t>61040b</t>
  </si>
  <si>
    <t>74209/1</t>
  </si>
  <si>
    <t>x</t>
  </si>
  <si>
    <t>DESCRIÇÃO DOS SERVIÇOS</t>
  </si>
  <si>
    <t>PLANILHA DE SERVIÇOS   -   PAVIMENTAÇÃO</t>
  </si>
  <si>
    <t>ORÇAMENTO APROVADO</t>
  </si>
  <si>
    <t>( R$ ) - PM
TOTAIS</t>
  </si>
  <si>
    <t>Município:</t>
  </si>
  <si>
    <t xml:space="preserve">SAM  </t>
  </si>
  <si>
    <t xml:space="preserve">LOTE nº </t>
  </si>
  <si>
    <t/>
  </si>
  <si>
    <t>5</t>
  </si>
  <si>
    <t>2</t>
  </si>
  <si>
    <t>SEIL</t>
  </si>
  <si>
    <t>DER</t>
  </si>
  <si>
    <t>3</t>
  </si>
  <si>
    <t>Brita Graduada</t>
  </si>
  <si>
    <t>4</t>
  </si>
  <si>
    <t>6</t>
  </si>
  <si>
    <t>Meio-Fio com Sarjeta DER - Tipo 2 - (0,042 m3) - Pré-Moldado</t>
  </si>
  <si>
    <t>Meio-Fio com Sarjeta DER - Tipo 7 - (0,031 m3) - Pré-Moldado</t>
  </si>
  <si>
    <t>820000G</t>
  </si>
  <si>
    <t>Reaterro e Apiloamento Mecânico</t>
  </si>
  <si>
    <t>Lastro de Brita</t>
  </si>
  <si>
    <t>Código</t>
  </si>
  <si>
    <t>7</t>
  </si>
  <si>
    <t>TERRAPLENAGEM</t>
  </si>
  <si>
    <t>REVESTIMENTO</t>
  </si>
  <si>
    <t>MEIO-FIO E SARJETA</t>
  </si>
  <si>
    <t>DRENAGEM</t>
  </si>
  <si>
    <t>SERVIÇOS PRELIMINARES</t>
  </si>
  <si>
    <t>BASE / SUB-BASE</t>
  </si>
  <si>
    <t>PAISAGISMO / URBANISMO</t>
  </si>
  <si>
    <t>SINALIZAÇÃO DE TRÂNSITO</t>
  </si>
  <si>
    <t>74236/1</t>
  </si>
  <si>
    <t>TOTAL</t>
  </si>
  <si>
    <t>PREÇO GLOBAL</t>
  </si>
  <si>
    <t>1</t>
  </si>
  <si>
    <t>74022/14</t>
  </si>
  <si>
    <t>Ensaio de Massa Específica - In Situ - Método Frasco de Areia (Grau de Compactação) - Regularização e Compactação do Subleito</t>
  </si>
  <si>
    <t>Ensaio de Massa Específica - In Situ - Método Frasco de Areia (Grau de Compactação) - Sub-base e Base</t>
  </si>
  <si>
    <t>74022/52</t>
  </si>
  <si>
    <t>Ensaio de Granulometria do Agregado</t>
  </si>
  <si>
    <t>74022/35</t>
  </si>
  <si>
    <t>Ensaio de Percentagem de Betume - Misturas Betuminosas</t>
  </si>
  <si>
    <t>74022/53</t>
  </si>
  <si>
    <t>Ensaio de Controle do Grau de Compactação da Mistura Asfáltica</t>
  </si>
  <si>
    <t>74022/56</t>
  </si>
  <si>
    <t>Ensaio de Densidade do Material Betuminoso</t>
  </si>
  <si>
    <t>DAER/RS</t>
  </si>
  <si>
    <t>gb</t>
  </si>
  <si>
    <t>Município</t>
  </si>
  <si>
    <t>Projeto</t>
  </si>
  <si>
    <t>Local da Obra</t>
  </si>
  <si>
    <t>ENSAIOS TECNOLÓGICOS</t>
  </si>
  <si>
    <r>
      <t>SECRETARIA DE ESTADO DO DESENVOLVIMENTO URBANO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SEDU</t>
    </r>
  </si>
  <si>
    <t>CRONOGRAMA FÍSICO FINANCEIRO</t>
  </si>
  <si>
    <t>GRUPO</t>
  </si>
  <si>
    <t>SERVIÇOS</t>
  </si>
  <si>
    <t>PARCELAS (%)</t>
  </si>
  <si>
    <t>% S/</t>
  </si>
  <si>
    <t>Controle</t>
  </si>
  <si>
    <t>ITEM</t>
  </si>
  <si>
    <t>ITEM (R$)</t>
  </si>
  <si>
    <t>ILUMINAÇÃO PÚBLICA</t>
  </si>
  <si>
    <t>SERVIÇOS DIVERSOS</t>
  </si>
  <si>
    <t>TOTAIS</t>
  </si>
  <si>
    <t>PARCELAS</t>
  </si>
  <si>
    <t>FINANCIAMENTO</t>
  </si>
  <si>
    <t>R$</t>
  </si>
  <si>
    <t>CONTRAPARTIDA</t>
  </si>
  <si>
    <t>FATURAMENTO MENSAL PREVISTO</t>
  </si>
  <si>
    <t>Resp. Técnico:</t>
  </si>
  <si>
    <t>Assinatura:</t>
  </si>
  <si>
    <t>data:</t>
  </si>
  <si>
    <t>PAVIMENTAÇÃO DE VIAS URBANAS - CBUQ</t>
  </si>
  <si>
    <t>Concreto Betuminoso Usinado à Quente (CBUQ) - Faixa C</t>
  </si>
  <si>
    <t>Composição</t>
  </si>
  <si>
    <t>UN.</t>
  </si>
  <si>
    <t>Placa de Obra 4,00 x 2,00 m</t>
  </si>
  <si>
    <t>Regularização e Compactação do Subleito 100% PN</t>
  </si>
  <si>
    <t>Plantio de Grama em Placas</t>
  </si>
  <si>
    <t>Faixa de Sinalização Horizontal com Tinta Resina Acrílica Base Solvente</t>
  </si>
  <si>
    <t>Placa de Sinalização Refletiva - Octógono + Suporte Metálico</t>
  </si>
  <si>
    <t>Escavação de Bueiro em 1ª Categoria</t>
  </si>
  <si>
    <t>Boca de Lobo Simples em Concreto Armado</t>
  </si>
  <si>
    <t>Mobilização e Desmobilização (equipamento e equipe para extração de corpos de prova da capa asfáltica)</t>
  </si>
  <si>
    <t>Extração de Corpo de Prova de Concreto Asfáltico com Sonda Rotativa</t>
  </si>
  <si>
    <t>Pintura de Ligação com RR-1C</t>
  </si>
  <si>
    <t xml:space="preserve">    </t>
  </si>
  <si>
    <t>560100B</t>
  </si>
  <si>
    <t>Imprimação com  Emulsão (EAI)</t>
  </si>
  <si>
    <t>QUANT.</t>
  </si>
  <si>
    <t>UNIT.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</si>
  <si>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</si>
  <si>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CONTENDA</t>
  </si>
  <si>
    <t>01</t>
  </si>
  <si>
    <t>Regularização e Compactação - Passeio (inclusive Corte e Aterro)</t>
  </si>
  <si>
    <t>605000B</t>
  </si>
  <si>
    <t>Calçada em Concreto (e=5,00 cm)</t>
  </si>
  <si>
    <t>Brita Graduada - Passeio</t>
  </si>
  <si>
    <t>Corpo de BSTC ø 0,40 m sem Berço e sem Armação</t>
  </si>
  <si>
    <t>Corpo de BSTC ø 0,60 m sem Berço e sem Armação</t>
  </si>
  <si>
    <t>61060b</t>
  </si>
  <si>
    <t>61080b</t>
  </si>
  <si>
    <t>Remoção de Solos Moles (DMT até 2 km)</t>
  </si>
  <si>
    <t>Colchão Drenante de Areia (substituição de solos moles)</t>
  </si>
  <si>
    <t>Rampa para PNE com Piso Tátil (conforme projeto e NBR 9050)</t>
  </si>
  <si>
    <t>605000E</t>
  </si>
  <si>
    <t>Escavação, Carga e Transporte (DMT até 2 km)</t>
  </si>
  <si>
    <t>Boca (Ala) de BSTC ø 1,00 m</t>
  </si>
  <si>
    <t>Brita 4A</t>
  </si>
  <si>
    <t>61100b</t>
  </si>
  <si>
    <t>Corpo de BSTC ø 0,40 m sem Berço com Armação Símples CA-1</t>
  </si>
  <si>
    <t>Corpo de BSTC ø 0,60 m sem Berço com Armação Símples CA-1</t>
  </si>
  <si>
    <t>Corpo de BSTC ø 0,80 m sem Berço com Armação Símples CA-1</t>
  </si>
  <si>
    <t>Corpo de BSTC ø 1,00 m sem Berço com Armação Símples CA-1</t>
  </si>
  <si>
    <t>8</t>
  </si>
  <si>
    <t>9</t>
  </si>
  <si>
    <t>Boca (Ala) de BSTC ø 0,60 m</t>
  </si>
  <si>
    <t>29</t>
  </si>
  <si>
    <t>Placas de Identificação Nome de Ruas (2x0,45mx0,25m) + Suporte Metálico</t>
  </si>
  <si>
    <t>AVANÇAR CIDADES BRDE</t>
  </si>
  <si>
    <t>LOTEAMENTOS JARDIM SÃO JOÃO E JARDIM PLANALTO - QUADRO RESUMO</t>
  </si>
  <si>
    <t>RUA ALICE CARVALHO DA ROCHA PINTO (ENTRE AV. ELEUTÉRIO DE SOUZA PADILHA ATÉ O FINAL) - LOTEAMENTO JARDIM SÃO JOÃO</t>
  </si>
  <si>
    <t>Origem</t>
  </si>
  <si>
    <t>RUA LEONOR PACHECO DOS ANJOS (ENTRE AV. ELEUTÉRIO DE SOUZA PADILHA ATÉ O FINAL) - LOTEAMENTO JARDIM SÃO JOÃO</t>
  </si>
  <si>
    <t>PAVIMENTAÇÃO</t>
  </si>
  <si>
    <t>Edital no Município</t>
  </si>
  <si>
    <t>Procedimento prévio</t>
  </si>
  <si>
    <t>Início previsto da Obra</t>
  </si>
  <si>
    <t>Empréstimo</t>
  </si>
  <si>
    <t>Projeto :</t>
  </si>
  <si>
    <t>Data</t>
  </si>
  <si>
    <t>Dias</t>
  </si>
  <si>
    <t>Contrapartida do Proponente</t>
  </si>
  <si>
    <t>Quantidade:</t>
  </si>
  <si>
    <t>Valor Total</t>
  </si>
  <si>
    <t>N</t>
  </si>
  <si>
    <t>Data Início</t>
  </si>
  <si>
    <t>Data Fim</t>
  </si>
  <si>
    <t>COMPOSIÇÃO DOS RECURSOS (FINANCIAMENTO E CONTRAPARTIDA)</t>
  </si>
  <si>
    <t>Nº DE</t>
  </si>
  <si>
    <t>MESES</t>
  </si>
  <si>
    <t>1T</t>
  </si>
  <si>
    <t>1C</t>
  </si>
  <si>
    <t>2T</t>
  </si>
  <si>
    <t>2C</t>
  </si>
  <si>
    <t>3T</t>
  </si>
  <si>
    <t>3C</t>
  </si>
  <si>
    <t>4T</t>
  </si>
  <si>
    <t>4C</t>
  </si>
  <si>
    <t>5T</t>
  </si>
  <si>
    <t>5C</t>
  </si>
  <si>
    <t>6T</t>
  </si>
  <si>
    <t>6C</t>
  </si>
  <si>
    <t>7T</t>
  </si>
  <si>
    <t>7C</t>
  </si>
  <si>
    <t>8T</t>
  </si>
  <si>
    <t>8C</t>
  </si>
  <si>
    <t>9T</t>
  </si>
  <si>
    <t>9C</t>
  </si>
  <si>
    <t>T</t>
  </si>
  <si>
    <t>C</t>
  </si>
  <si>
    <t>MENSAL PARCIAL PREVISTO EM %</t>
  </si>
  <si>
    <t>MENSAL ACUMULADO PREVISTO EM %</t>
  </si>
  <si>
    <t>Prefeito:</t>
  </si>
  <si>
    <t>___________________________</t>
  </si>
  <si>
    <t>__________________</t>
  </si>
  <si>
    <t>RUA JUVÊNCIO DE CAMARGO SOUZA (ENTRE AV. ELEUTÉRIO DE SOUZA PADILHA E RUA JOSÉ DORIVAL VALTER) - LOTEAMENTOS JARDIM SÃO JOÃO E JARDIM PLANALTO</t>
  </si>
  <si>
    <t>RUA JOSÉ FERREIRA DA SILVA (ENTRE AV. ELEUTÉRIO DE SOUZA PADILHA ATÉ O FINAL) - LOTEAMENTO JARDIM SÃO JOÃO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</si>
</sst>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&quot;R$&quot;#,##0.00_);\(&quot;R$&quot;#,##0.00\)"/>
    <numFmt numFmtId="165" formatCode="#,##0.000"/>
    <numFmt numFmtId="166" formatCode="#,##0.00\ &quot;m2&quot;"/>
    <numFmt numFmtId="167" formatCode="d/m/yy;@"/>
    <numFmt numFmtId="168" formatCode="#,##0_ ;[Red]\-#,##0\ "/>
  </numFmts>
  <fonts count="23" x14ac:knownFonts="1">
    <font>
      <sz val="8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sz val="10"/>
      <color indexed="9"/>
      <name val="Arial"/>
      <family val="2"/>
    </font>
    <font>
      <b/>
      <sz val="16"/>
      <color theme="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8"/>
      <color indexed="1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b/>
      <sz val="8"/>
      <name val="Times New Roman"/>
      <family val="1"/>
    </font>
    <font>
      <b/>
      <sz val="8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0" fontId="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8" fillId="0" borderId="0"/>
    <xf numFmtId="0" fontId="9" fillId="0" borderId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272">
    <xf numFmtId="0" fontId="0" fillId="0" borderId="0" xfId="0"/>
    <xf numFmtId="49" fontId="6" fillId="0" borderId="7" xfId="0" applyNumberFormat="1" applyFont="1" applyFill="1" applyBorder="1" applyAlignment="1" applyProtection="1">
      <alignment horizontal="centerContinuous" vertical="center"/>
    </xf>
    <xf numFmtId="0" fontId="2" fillId="0" borderId="7" xfId="0" applyFont="1" applyFill="1" applyBorder="1" applyAlignment="1">
      <alignment horizontal="centerContinuous" vertical="center"/>
    </xf>
    <xf numFmtId="0" fontId="2" fillId="0" borderId="7" xfId="0" applyFont="1" applyFill="1" applyBorder="1" applyAlignment="1" applyProtection="1">
      <alignment horizontal="centerContinuous" vertical="center"/>
    </xf>
    <xf numFmtId="0" fontId="3" fillId="0" borderId="8" xfId="0" applyFont="1" applyFill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 vertical="center"/>
    </xf>
    <xf numFmtId="2" fontId="2" fillId="0" borderId="28" xfId="1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 wrapText="1"/>
    </xf>
    <xf numFmtId="4" fontId="3" fillId="0" borderId="18" xfId="1" applyNumberFormat="1" applyFont="1" applyFill="1" applyBorder="1" applyAlignment="1">
      <alignment vertical="center"/>
    </xf>
    <xf numFmtId="2" fontId="2" fillId="0" borderId="17" xfId="1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3" fillId="0" borderId="17" xfId="1" applyFont="1" applyFill="1" applyBorder="1" applyAlignment="1">
      <alignment horizontal="left" vertical="center"/>
    </xf>
    <xf numFmtId="4" fontId="3" fillId="0" borderId="17" xfId="0" applyNumberFormat="1" applyFont="1" applyFill="1" applyBorder="1" applyAlignment="1">
      <alignment vertical="center"/>
    </xf>
    <xf numFmtId="0" fontId="2" fillId="0" borderId="29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29" xfId="1" applyFont="1" applyFill="1" applyBorder="1" applyAlignment="1">
      <alignment vertical="center" wrapText="1"/>
    </xf>
    <xf numFmtId="2" fontId="2" fillId="0" borderId="22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vertical="center"/>
    </xf>
    <xf numFmtId="4" fontId="2" fillId="0" borderId="22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32" xfId="0" applyFont="1" applyFill="1" applyBorder="1" applyAlignment="1" applyProtection="1">
      <alignment horizontal="left" vertical="center"/>
      <protection locked="0"/>
    </xf>
    <xf numFmtId="0" fontId="3" fillId="0" borderId="36" xfId="0" applyFont="1" applyFill="1" applyBorder="1" applyAlignment="1" applyProtection="1">
      <alignment horizontal="left" vertical="center"/>
      <protection locked="0"/>
    </xf>
    <xf numFmtId="0" fontId="3" fillId="0" borderId="30" xfId="0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Continuous" vertical="center" wrapText="1"/>
    </xf>
    <xf numFmtId="0" fontId="2" fillId="0" borderId="11" xfId="1" applyFont="1" applyFill="1" applyBorder="1" applyAlignment="1">
      <alignment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4" fontId="3" fillId="0" borderId="17" xfId="1" applyNumberFormat="1" applyFont="1" applyFill="1" applyBorder="1" applyAlignment="1" applyProtection="1">
      <alignment vertical="center"/>
    </xf>
    <xf numFmtId="4" fontId="3" fillId="0" borderId="24" xfId="1" applyNumberFormat="1" applyFont="1" applyFill="1" applyBorder="1" applyAlignment="1" applyProtection="1">
      <alignment vertical="center"/>
    </xf>
    <xf numFmtId="4" fontId="3" fillId="0" borderId="18" xfId="1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7" fillId="0" borderId="7" xfId="0" applyNumberFormat="1" applyFont="1" applyFill="1" applyBorder="1" applyAlignment="1" applyProtection="1">
      <alignment horizontal="centerContinuous" vertical="center"/>
    </xf>
    <xf numFmtId="49" fontId="3" fillId="0" borderId="14" xfId="0" applyNumberFormat="1" applyFont="1" applyFill="1" applyBorder="1" applyAlignment="1" applyProtection="1">
      <alignment horizontal="left" vertical="center"/>
    </xf>
    <xf numFmtId="49" fontId="3" fillId="0" borderId="31" xfId="0" applyNumberFormat="1" applyFont="1" applyFill="1" applyBorder="1" applyAlignment="1" applyProtection="1">
      <alignment horizontal="left" vertical="center"/>
      <protection locked="0"/>
    </xf>
    <xf numFmtId="0" fontId="3" fillId="0" borderId="13" xfId="0" applyFont="1" applyFill="1" applyBorder="1" applyAlignment="1" applyProtection="1">
      <alignment horizontal="left" vertical="center"/>
      <protection locked="0"/>
    </xf>
    <xf numFmtId="49" fontId="3" fillId="0" borderId="34" xfId="0" applyNumberFormat="1" applyFont="1" applyFill="1" applyBorder="1" applyAlignment="1" applyProtection="1">
      <alignment horizontal="left" vertical="center"/>
    </xf>
    <xf numFmtId="49" fontId="3" fillId="0" borderId="37" xfId="0" applyNumberFormat="1" applyFont="1" applyFill="1" applyBorder="1" applyAlignment="1" applyProtection="1">
      <alignment horizontal="left" vertical="center"/>
      <protection locked="0"/>
    </xf>
    <xf numFmtId="0" fontId="3" fillId="0" borderId="33" xfId="0" applyFont="1" applyFill="1" applyBorder="1" applyAlignment="1" applyProtection="1">
      <alignment horizontal="left" vertical="center"/>
      <protection locked="0"/>
    </xf>
    <xf numFmtId="49" fontId="3" fillId="0" borderId="10" xfId="0" applyNumberFormat="1" applyFont="1" applyFill="1" applyBorder="1" applyAlignment="1" applyProtection="1">
      <alignment horizontal="left" vertical="center"/>
    </xf>
    <xf numFmtId="4" fontId="2" fillId="0" borderId="21" xfId="0" applyNumberFormat="1" applyFont="1" applyFill="1" applyBorder="1" applyAlignment="1" applyProtection="1">
      <alignment vertical="center"/>
      <protection locked="0"/>
    </xf>
    <xf numFmtId="4" fontId="2" fillId="0" borderId="5" xfId="0" applyNumberFormat="1" applyFont="1" applyFill="1" applyBorder="1" applyAlignment="1" applyProtection="1">
      <alignment vertical="center"/>
      <protection locked="0"/>
    </xf>
    <xf numFmtId="4" fontId="2" fillId="0" borderId="20" xfId="0" applyNumberFormat="1" applyFont="1" applyFill="1" applyBorder="1" applyAlignment="1" applyProtection="1">
      <alignment vertical="center"/>
      <protection locked="0"/>
    </xf>
    <xf numFmtId="49" fontId="3" fillId="0" borderId="16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vertical="center" wrapText="1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49" fontId="3" fillId="0" borderId="29" xfId="0" applyNumberFormat="1" applyFont="1" applyFill="1" applyBorder="1" applyAlignment="1" applyProtection="1">
      <alignment horizontal="center" vertical="center"/>
      <protection locked="0"/>
    </xf>
    <xf numFmtId="0" fontId="3" fillId="0" borderId="38" xfId="0" applyFont="1" applyFill="1" applyBorder="1" applyAlignment="1" applyProtection="1">
      <alignment horizontal="left" vertical="center"/>
    </xf>
    <xf numFmtId="0" fontId="3" fillId="0" borderId="39" xfId="0" applyFont="1" applyFill="1" applyBorder="1" applyAlignment="1" applyProtection="1">
      <alignment horizontal="left" vertical="center"/>
    </xf>
    <xf numFmtId="0" fontId="4" fillId="0" borderId="17" xfId="0" applyFont="1" applyFill="1" applyBorder="1" applyAlignment="1" applyProtection="1">
      <alignment horizontal="justify" vertical="center" wrapText="1"/>
    </xf>
    <xf numFmtId="4" fontId="2" fillId="0" borderId="21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Alignment="1">
      <alignment vertical="center"/>
    </xf>
    <xf numFmtId="49" fontId="3" fillId="0" borderId="27" xfId="1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vertical="center" wrapText="1"/>
    </xf>
    <xf numFmtId="4" fontId="2" fillId="0" borderId="0" xfId="0" applyNumberFormat="1" applyFont="1" applyFill="1" applyBorder="1" applyAlignment="1" applyProtection="1">
      <alignment vertical="center"/>
      <protection locked="0"/>
    </xf>
    <xf numFmtId="165" fontId="3" fillId="0" borderId="17" xfId="1" applyNumberFormat="1" applyFont="1" applyFill="1" applyBorder="1" applyAlignment="1" applyProtection="1">
      <alignment vertical="center"/>
    </xf>
    <xf numFmtId="0" fontId="2" fillId="0" borderId="10" xfId="0" quotePrefix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7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1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0" xfId="9" applyProtection="1"/>
    <xf numFmtId="0" fontId="2" fillId="2" borderId="13" xfId="9" quotePrefix="1" applyFont="1" applyFill="1" applyBorder="1" applyAlignment="1" applyProtection="1">
      <alignment horizontal="left" vertical="center" indent="3"/>
    </xf>
    <xf numFmtId="0" fontId="14" fillId="2" borderId="13" xfId="9" applyFont="1" applyFill="1" applyBorder="1" applyAlignment="1" applyProtection="1">
      <alignment horizontal="centerContinuous"/>
    </xf>
    <xf numFmtId="0" fontId="2" fillId="2" borderId="13" xfId="9" quotePrefix="1" applyFont="1" applyFill="1" applyBorder="1" applyAlignment="1" applyProtection="1">
      <alignment horizontal="left"/>
    </xf>
    <xf numFmtId="0" fontId="2" fillId="2" borderId="6" xfId="9" applyFill="1" applyBorder="1" applyProtection="1"/>
    <xf numFmtId="0" fontId="15" fillId="2" borderId="6" xfId="9" applyFont="1" applyFill="1" applyBorder="1" applyAlignment="1" applyProtection="1">
      <alignment vertical="center"/>
    </xf>
    <xf numFmtId="0" fontId="2" fillId="2" borderId="13" xfId="9" applyFill="1" applyBorder="1" applyProtection="1"/>
    <xf numFmtId="0" fontId="2" fillId="2" borderId="9" xfId="9" applyFill="1" applyBorder="1" applyProtection="1"/>
    <xf numFmtId="0" fontId="2" fillId="0" borderId="0" xfId="9" applyProtection="1">
      <protection locked="0"/>
    </xf>
    <xf numFmtId="0" fontId="3" fillId="2" borderId="40" xfId="9" applyFont="1" applyFill="1" applyBorder="1" applyAlignment="1" applyProtection="1">
      <alignment horizontal="left"/>
    </xf>
    <xf numFmtId="2" fontId="3" fillId="3" borderId="41" xfId="9" applyNumberFormat="1" applyFont="1" applyFill="1" applyBorder="1" applyAlignment="1" applyProtection="1">
      <alignment horizontal="left"/>
      <protection locked="0"/>
    </xf>
    <xf numFmtId="0" fontId="3" fillId="3" borderId="33" xfId="9" applyFont="1" applyFill="1" applyBorder="1" applyAlignment="1" applyProtection="1">
      <alignment horizontal="left"/>
      <protection locked="0"/>
    </xf>
    <xf numFmtId="0" fontId="3" fillId="0" borderId="42" xfId="9" applyFont="1" applyFill="1" applyBorder="1" applyAlignment="1" applyProtection="1">
      <alignment horizontal="left"/>
    </xf>
    <xf numFmtId="1" fontId="3" fillId="3" borderId="26" xfId="9" applyNumberFormat="1" applyFont="1" applyFill="1" applyBorder="1" applyAlignment="1" applyProtection="1">
      <alignment horizontal="center"/>
      <protection locked="0"/>
    </xf>
    <xf numFmtId="0" fontId="16" fillId="0" borderId="42" xfId="9" applyFont="1" applyFill="1" applyBorder="1" applyAlignment="1" applyProtection="1">
      <alignment horizontal="centerContinuous"/>
    </xf>
    <xf numFmtId="49" fontId="16" fillId="0" borderId="26" xfId="9" applyNumberFormat="1" applyFont="1" applyFill="1" applyBorder="1" applyAlignment="1" applyProtection="1">
      <alignment horizontal="centerContinuous"/>
    </xf>
    <xf numFmtId="49" fontId="16" fillId="0" borderId="80" xfId="9" applyNumberFormat="1" applyFont="1" applyFill="1" applyBorder="1" applyAlignment="1" applyProtection="1">
      <alignment horizontal="centerContinuous"/>
    </xf>
    <xf numFmtId="0" fontId="16" fillId="0" borderId="42" xfId="9" applyFont="1" applyFill="1" applyBorder="1" applyAlignment="1" applyProtection="1">
      <alignment horizontal="left"/>
    </xf>
    <xf numFmtId="0" fontId="16" fillId="2" borderId="44" xfId="9" applyFont="1" applyFill="1" applyBorder="1" applyAlignment="1" applyProtection="1">
      <alignment horizontal="centerContinuous"/>
    </xf>
    <xf numFmtId="0" fontId="16" fillId="2" borderId="33" xfId="9" applyFont="1" applyFill="1" applyBorder="1" applyAlignment="1" applyProtection="1">
      <alignment horizontal="centerContinuous"/>
    </xf>
    <xf numFmtId="4" fontId="16" fillId="3" borderId="81" xfId="9" applyNumberFormat="1" applyFont="1" applyFill="1" applyBorder="1" applyAlignment="1" applyProtection="1">
      <alignment horizontal="center"/>
      <protection locked="0"/>
    </xf>
    <xf numFmtId="10" fontId="16" fillId="0" borderId="45" xfId="16" applyNumberFormat="1" applyFont="1" applyFill="1" applyBorder="1" applyAlignment="1" applyProtection="1">
      <alignment horizontal="center"/>
    </xf>
    <xf numFmtId="0" fontId="3" fillId="2" borderId="48" xfId="9" applyFont="1" applyFill="1" applyBorder="1" applyAlignment="1" applyProtection="1">
      <alignment horizontal="left"/>
    </xf>
    <xf numFmtId="49" fontId="3" fillId="3" borderId="82" xfId="9" applyNumberFormat="1" applyFont="1" applyFill="1" applyBorder="1" applyProtection="1">
      <protection locked="0"/>
    </xf>
    <xf numFmtId="0" fontId="3" fillId="3" borderId="7" xfId="9" applyFont="1" applyFill="1" applyBorder="1" applyProtection="1">
      <protection locked="0"/>
    </xf>
    <xf numFmtId="0" fontId="3" fillId="3" borderId="7" xfId="9" applyFont="1" applyFill="1" applyBorder="1" applyAlignment="1" applyProtection="1">
      <alignment horizontal="left"/>
      <protection locked="0"/>
    </xf>
    <xf numFmtId="0" fontId="3" fillId="0" borderId="83" xfId="9" applyFont="1" applyFill="1" applyBorder="1" applyAlignment="1" applyProtection="1">
      <alignment horizontal="left"/>
    </xf>
    <xf numFmtId="1" fontId="3" fillId="3" borderId="76" xfId="9" applyNumberFormat="1" applyFont="1" applyFill="1" applyBorder="1" applyAlignment="1" applyProtection="1">
      <alignment horizontal="center"/>
      <protection locked="0"/>
    </xf>
    <xf numFmtId="0" fontId="16" fillId="0" borderId="83" xfId="9" applyFont="1" applyFill="1" applyBorder="1" applyAlignment="1" applyProtection="1">
      <alignment horizontal="center"/>
    </xf>
    <xf numFmtId="14" fontId="16" fillId="0" borderId="76" xfId="9" applyNumberFormat="1" applyFont="1" applyFill="1" applyBorder="1" applyAlignment="1" applyProtection="1">
      <alignment horizontal="center"/>
      <protection locked="0"/>
    </xf>
    <xf numFmtId="1" fontId="16" fillId="3" borderId="76" xfId="9" applyNumberFormat="1" applyFont="1" applyFill="1" applyBorder="1" applyAlignment="1" applyProtection="1">
      <alignment horizontal="center"/>
      <protection locked="0"/>
    </xf>
    <xf numFmtId="14" fontId="16" fillId="0" borderId="84" xfId="9" applyNumberFormat="1" applyFont="1" applyFill="1" applyBorder="1" applyAlignment="1" applyProtection="1">
      <alignment horizontal="center"/>
    </xf>
    <xf numFmtId="1" fontId="16" fillId="0" borderId="76" xfId="9" applyNumberFormat="1" applyFont="1" applyFill="1" applyBorder="1" applyAlignment="1" applyProtection="1">
      <alignment horizontal="center"/>
    </xf>
    <xf numFmtId="0" fontId="16" fillId="2" borderId="77" xfId="9" applyFont="1" applyFill="1" applyBorder="1" applyAlignment="1" applyProtection="1">
      <alignment horizontal="centerContinuous"/>
    </xf>
    <xf numFmtId="0" fontId="16" fillId="2" borderId="49" xfId="9" applyFont="1" applyFill="1" applyBorder="1" applyAlignment="1" applyProtection="1">
      <alignment horizontal="centerContinuous"/>
    </xf>
    <xf numFmtId="0" fontId="16" fillId="2" borderId="7" xfId="9" applyFont="1" applyFill="1" applyBorder="1" applyAlignment="1" applyProtection="1">
      <alignment horizontal="centerContinuous"/>
    </xf>
    <xf numFmtId="4" fontId="16" fillId="3" borderId="85" xfId="9" applyNumberFormat="1" applyFont="1" applyFill="1" applyBorder="1" applyAlignment="1" applyProtection="1">
      <alignment horizontal="center"/>
      <protection locked="0"/>
    </xf>
    <xf numFmtId="10" fontId="16" fillId="0" borderId="86" xfId="16" applyNumberFormat="1" applyFont="1" applyFill="1" applyBorder="1" applyAlignment="1" applyProtection="1">
      <alignment horizontal="center"/>
    </xf>
    <xf numFmtId="0" fontId="3" fillId="2" borderId="87" xfId="9" applyFont="1" applyFill="1" applyBorder="1" applyAlignment="1" applyProtection="1">
      <alignment horizontal="left"/>
    </xf>
    <xf numFmtId="166" fontId="3" fillId="4" borderId="88" xfId="9" applyNumberFormat="1" applyFont="1" applyFill="1" applyBorder="1" applyAlignment="1" applyProtection="1">
      <alignment horizontal="left" indent="1"/>
    </xf>
    <xf numFmtId="0" fontId="12" fillId="2" borderId="89" xfId="9" applyFont="1" applyFill="1" applyBorder="1" applyAlignment="1" applyProtection="1">
      <alignment horizontal="center"/>
    </xf>
    <xf numFmtId="0" fontId="11" fillId="2" borderId="90" xfId="9" applyFont="1" applyFill="1" applyBorder="1" applyAlignment="1" applyProtection="1">
      <alignment horizontal="centerContinuous"/>
    </xf>
    <xf numFmtId="0" fontId="12" fillId="2" borderId="6" xfId="9" applyFont="1" applyFill="1" applyBorder="1" applyAlignment="1" applyProtection="1">
      <alignment horizontal="centerContinuous"/>
    </xf>
    <xf numFmtId="0" fontId="16" fillId="2" borderId="89" xfId="9" applyFont="1" applyFill="1" applyBorder="1" applyAlignment="1" applyProtection="1">
      <alignment horizontal="centerContinuous"/>
    </xf>
    <xf numFmtId="0" fontId="16" fillId="2" borderId="13" xfId="9" applyFont="1" applyFill="1" applyBorder="1" applyAlignment="1" applyProtection="1">
      <alignment horizontal="centerContinuous"/>
    </xf>
    <xf numFmtId="40" fontId="13" fillId="2" borderId="91" xfId="9" applyNumberFormat="1" applyFont="1" applyFill="1" applyBorder="1" applyProtection="1"/>
    <xf numFmtId="10" fontId="1" fillId="0" borderId="92" xfId="16" applyNumberFormat="1" applyFont="1" applyFill="1" applyBorder="1" applyProtection="1"/>
    <xf numFmtId="0" fontId="17" fillId="2" borderId="25" xfId="9" applyFont="1" applyFill="1" applyBorder="1" applyAlignment="1" applyProtection="1">
      <alignment horizontal="center"/>
    </xf>
    <xf numFmtId="0" fontId="17" fillId="2" borderId="51" xfId="9" applyFont="1" applyFill="1" applyBorder="1" applyAlignment="1" applyProtection="1">
      <alignment horizontal="left"/>
    </xf>
    <xf numFmtId="0" fontId="17" fillId="2" borderId="43" xfId="9" applyFont="1" applyFill="1" applyBorder="1" applyAlignment="1" applyProtection="1">
      <alignment horizontal="centerContinuous"/>
    </xf>
    <xf numFmtId="0" fontId="18" fillId="2" borderId="5" xfId="9" applyFont="1" applyFill="1" applyBorder="1" applyAlignment="1" applyProtection="1">
      <alignment horizontal="center"/>
    </xf>
    <xf numFmtId="0" fontId="17" fillId="2" borderId="44" xfId="9" applyFont="1" applyFill="1" applyBorder="1" applyAlignment="1" applyProtection="1">
      <alignment horizontal="centerContinuous"/>
    </xf>
    <xf numFmtId="0" fontId="17" fillId="2" borderId="33" xfId="9" applyFont="1" applyFill="1" applyBorder="1" applyAlignment="1" applyProtection="1">
      <alignment horizontal="centerContinuous"/>
    </xf>
    <xf numFmtId="0" fontId="17" fillId="2" borderId="26" xfId="9" applyFont="1" applyFill="1" applyBorder="1" applyAlignment="1" applyProtection="1">
      <alignment horizontal="centerContinuous"/>
    </xf>
    <xf numFmtId="0" fontId="17" fillId="2" borderId="46" xfId="9" applyFont="1" applyFill="1" applyBorder="1" applyAlignment="1" applyProtection="1">
      <alignment horizontal="centerContinuous"/>
    </xf>
    <xf numFmtId="0" fontId="17" fillId="2" borderId="93" xfId="9" applyFont="1" applyFill="1" applyBorder="1" applyAlignment="1" applyProtection="1">
      <alignment horizontal="centerContinuous"/>
    </xf>
    <xf numFmtId="0" fontId="17" fillId="2" borderId="43" xfId="9" applyFont="1" applyFill="1" applyBorder="1" applyAlignment="1" applyProtection="1">
      <alignment horizontal="center"/>
    </xf>
    <xf numFmtId="0" fontId="17" fillId="2" borderId="94" xfId="9" applyFont="1" applyFill="1" applyBorder="1" applyAlignment="1" applyProtection="1">
      <alignment horizontal="center"/>
    </xf>
    <xf numFmtId="0" fontId="17" fillId="2" borderId="71" xfId="9" applyFont="1" applyFill="1" applyBorder="1" applyAlignment="1" applyProtection="1">
      <alignment horizontal="center"/>
    </xf>
    <xf numFmtId="0" fontId="3" fillId="5" borderId="18" xfId="9" applyFont="1" applyFill="1" applyBorder="1" applyAlignment="1" applyProtection="1">
      <alignment horizontal="center"/>
      <protection locked="0"/>
    </xf>
    <xf numFmtId="0" fontId="17" fillId="2" borderId="53" xfId="9" applyFont="1" applyFill="1" applyBorder="1" applyAlignment="1" applyProtection="1">
      <alignment horizontal="center"/>
    </xf>
    <xf numFmtId="0" fontId="17" fillId="2" borderId="54" xfId="9" applyFont="1" applyFill="1" applyBorder="1" applyProtection="1"/>
    <xf numFmtId="0" fontId="17" fillId="2" borderId="69" xfId="9" applyFont="1" applyFill="1" applyBorder="1" applyProtection="1"/>
    <xf numFmtId="1" fontId="3" fillId="6" borderId="55" xfId="9" applyNumberFormat="1" applyFont="1" applyFill="1" applyBorder="1" applyAlignment="1" applyProtection="1">
      <alignment horizontal="center"/>
      <protection locked="0"/>
    </xf>
    <xf numFmtId="0" fontId="17" fillId="2" borderId="55" xfId="9" applyFont="1" applyFill="1" applyBorder="1" applyAlignment="1" applyProtection="1">
      <alignment horizontal="center"/>
    </xf>
    <xf numFmtId="0" fontId="17" fillId="2" borderId="95" xfId="9" applyFont="1" applyFill="1" applyBorder="1" applyAlignment="1" applyProtection="1">
      <alignment horizontal="center"/>
    </xf>
    <xf numFmtId="0" fontId="17" fillId="2" borderId="69" xfId="9" applyFont="1" applyFill="1" applyBorder="1" applyAlignment="1" applyProtection="1">
      <alignment horizontal="center"/>
    </xf>
    <xf numFmtId="0" fontId="17" fillId="2" borderId="96" xfId="9" applyFont="1" applyFill="1" applyBorder="1" applyAlignment="1" applyProtection="1">
      <alignment horizontal="center"/>
    </xf>
    <xf numFmtId="0" fontId="17" fillId="2" borderId="57" xfId="9" applyFont="1" applyFill="1" applyBorder="1" applyAlignment="1" applyProtection="1">
      <alignment horizontal="center"/>
    </xf>
    <xf numFmtId="0" fontId="18" fillId="2" borderId="54" xfId="9" applyFont="1" applyFill="1" applyBorder="1" applyAlignment="1" applyProtection="1">
      <alignment textRotation="180"/>
    </xf>
    <xf numFmtId="167" fontId="17" fillId="2" borderId="55" xfId="9" applyNumberFormat="1" applyFont="1" applyFill="1" applyBorder="1" applyAlignment="1" applyProtection="1">
      <alignment horizontal="center"/>
    </xf>
    <xf numFmtId="167" fontId="17" fillId="2" borderId="95" xfId="9" applyNumberFormat="1" applyFont="1" applyFill="1" applyBorder="1" applyAlignment="1" applyProtection="1">
      <alignment horizontal="center"/>
    </xf>
    <xf numFmtId="167" fontId="17" fillId="2" borderId="69" xfId="9" applyNumberFormat="1" applyFont="1" applyFill="1" applyBorder="1" applyAlignment="1" applyProtection="1">
      <alignment horizontal="center"/>
    </xf>
    <xf numFmtId="0" fontId="1" fillId="0" borderId="0" xfId="9" applyFont="1" applyProtection="1"/>
    <xf numFmtId="49" fontId="19" fillId="2" borderId="72" xfId="9" applyNumberFormat="1" applyFont="1" applyFill="1" applyBorder="1" applyAlignment="1" applyProtection="1">
      <alignment horizontal="center"/>
    </xf>
    <xf numFmtId="49" fontId="19" fillId="2" borderId="47" xfId="9" applyNumberFormat="1" applyFont="1" applyFill="1" applyBorder="1" applyAlignment="1" applyProtection="1">
      <alignment horizontal="left"/>
    </xf>
    <xf numFmtId="49" fontId="19" fillId="2" borderId="46" xfId="9" applyNumberFormat="1" applyFont="1" applyFill="1" applyBorder="1" applyAlignment="1" applyProtection="1">
      <alignment horizontal="left"/>
    </xf>
    <xf numFmtId="0" fontId="20" fillId="2" borderId="5" xfId="9" applyFont="1" applyFill="1" applyBorder="1" applyProtection="1"/>
    <xf numFmtId="0" fontId="19" fillId="2" borderId="46" xfId="9" applyFont="1" applyFill="1" applyBorder="1" applyAlignment="1" applyProtection="1">
      <alignment horizontal="center"/>
    </xf>
    <xf numFmtId="0" fontId="19" fillId="2" borderId="97" xfId="9" applyFont="1" applyFill="1" applyBorder="1" applyAlignment="1" applyProtection="1">
      <alignment horizontal="center"/>
    </xf>
    <xf numFmtId="0" fontId="19" fillId="2" borderId="35" xfId="9" applyFont="1" applyFill="1" applyBorder="1" applyAlignment="1" applyProtection="1">
      <alignment horizontal="center"/>
    </xf>
    <xf numFmtId="40" fontId="21" fillId="3" borderId="98" xfId="9" applyNumberFormat="1" applyFont="1" applyFill="1" applyBorder="1" applyAlignment="1" applyProtection="1">
      <alignment horizontal="right"/>
    </xf>
    <xf numFmtId="2" fontId="19" fillId="2" borderId="59" xfId="9" applyNumberFormat="1" applyFont="1" applyFill="1" applyBorder="1" applyProtection="1"/>
    <xf numFmtId="49" fontId="19" fillId="2" borderId="58" xfId="9" applyNumberFormat="1" applyFont="1" applyFill="1" applyBorder="1" applyAlignment="1" applyProtection="1">
      <alignment horizontal="center"/>
    </xf>
    <xf numFmtId="0" fontId="2" fillId="2" borderId="60" xfId="9" applyFill="1" applyBorder="1" applyProtection="1"/>
    <xf numFmtId="0" fontId="2" fillId="2" borderId="61" xfId="9" applyFill="1" applyBorder="1" applyProtection="1"/>
    <xf numFmtId="0" fontId="1" fillId="2" borderId="61" xfId="9" applyFont="1" applyFill="1" applyBorder="1" applyProtection="1"/>
    <xf numFmtId="40" fontId="1" fillId="2" borderId="61" xfId="9" applyNumberFormat="1" applyFont="1" applyFill="1" applyBorder="1" applyProtection="1"/>
    <xf numFmtId="0" fontId="1" fillId="2" borderId="62" xfId="9" applyFont="1" applyFill="1" applyBorder="1" applyProtection="1"/>
    <xf numFmtId="0" fontId="2" fillId="2" borderId="63" xfId="9" applyFill="1" applyBorder="1" applyProtection="1"/>
    <xf numFmtId="0" fontId="3" fillId="2" borderId="64" xfId="9" applyFont="1" applyFill="1" applyBorder="1" applyAlignment="1" applyProtection="1">
      <alignment horizontal="centerContinuous"/>
    </xf>
    <xf numFmtId="0" fontId="2" fillId="2" borderId="64" xfId="9" applyFill="1" applyBorder="1" applyAlignment="1" applyProtection="1">
      <alignment horizontal="centerContinuous"/>
    </xf>
    <xf numFmtId="0" fontId="1" fillId="2" borderId="64" xfId="9" applyFont="1" applyFill="1" applyBorder="1" applyProtection="1"/>
    <xf numFmtId="40" fontId="13" fillId="2" borderId="99" xfId="9" applyNumberFormat="1" applyFont="1" applyFill="1" applyBorder="1" applyProtection="1"/>
    <xf numFmtId="0" fontId="13" fillId="2" borderId="66" xfId="9" applyFont="1" applyFill="1" applyBorder="1" applyProtection="1"/>
    <xf numFmtId="0" fontId="11" fillId="2" borderId="67" xfId="9" applyFont="1" applyFill="1" applyBorder="1" applyAlignment="1" applyProtection="1">
      <alignment horizontal="centerContinuous"/>
    </xf>
    <xf numFmtId="0" fontId="12" fillId="2" borderId="35" xfId="9" applyFont="1" applyFill="1" applyBorder="1" applyAlignment="1" applyProtection="1">
      <alignment horizontal="centerContinuous"/>
    </xf>
    <xf numFmtId="0" fontId="1" fillId="2" borderId="35" xfId="9" applyFont="1" applyFill="1" applyBorder="1" applyAlignment="1" applyProtection="1">
      <alignment horizontal="centerContinuous"/>
    </xf>
    <xf numFmtId="0" fontId="1" fillId="2" borderId="68" xfId="9" applyFont="1" applyFill="1" applyBorder="1" applyAlignment="1" applyProtection="1">
      <alignment horizontal="centerContinuous"/>
    </xf>
    <xf numFmtId="0" fontId="2" fillId="2" borderId="53" xfId="9" applyFont="1" applyFill="1" applyBorder="1" applyAlignment="1" applyProtection="1">
      <alignment horizontal="center"/>
    </xf>
    <xf numFmtId="0" fontId="2" fillId="2" borderId="69" xfId="9" applyFont="1" applyFill="1" applyBorder="1" applyAlignment="1" applyProtection="1">
      <alignment horizontal="center"/>
    </xf>
    <xf numFmtId="0" fontId="1" fillId="2" borderId="69" xfId="9" applyFont="1" applyFill="1" applyBorder="1" applyAlignment="1" applyProtection="1">
      <alignment horizontal="centerContinuous"/>
    </xf>
    <xf numFmtId="0" fontId="1" fillId="2" borderId="100" xfId="9" applyFont="1" applyFill="1" applyBorder="1" applyAlignment="1" applyProtection="1">
      <alignment horizontal="centerContinuous"/>
    </xf>
    <xf numFmtId="0" fontId="1" fillId="2" borderId="94" xfId="9" applyFont="1" applyFill="1" applyBorder="1" applyAlignment="1" applyProtection="1">
      <alignment horizontal="center"/>
    </xf>
    <xf numFmtId="0" fontId="1" fillId="2" borderId="71" xfId="9" applyFont="1" applyFill="1" applyBorder="1" applyAlignment="1" applyProtection="1">
      <alignment horizontal="center"/>
    </xf>
    <xf numFmtId="0" fontId="2" fillId="2" borderId="72" xfId="9" applyFont="1" applyFill="1" applyBorder="1" applyAlignment="1" applyProtection="1">
      <alignment horizontal="center"/>
    </xf>
    <xf numFmtId="0" fontId="2" fillId="2" borderId="101" xfId="9" applyFont="1" applyFill="1" applyBorder="1" applyAlignment="1" applyProtection="1">
      <alignment horizontal="center"/>
    </xf>
    <xf numFmtId="0" fontId="2" fillId="2" borderId="73" xfId="9" applyFont="1" applyFill="1" applyBorder="1" applyAlignment="1" applyProtection="1">
      <alignment horizontal="center"/>
    </xf>
    <xf numFmtId="0" fontId="1" fillId="2" borderId="73" xfId="9" applyFont="1" applyFill="1" applyBorder="1" applyAlignment="1" applyProtection="1">
      <alignment horizontal="center"/>
    </xf>
    <xf numFmtId="0" fontId="1" fillId="2" borderId="102" xfId="9" applyFont="1" applyFill="1" applyBorder="1" applyAlignment="1" applyProtection="1">
      <alignment horizontal="center"/>
    </xf>
    <xf numFmtId="0" fontId="17" fillId="2" borderId="35" xfId="9" applyFont="1" applyFill="1" applyBorder="1" applyAlignment="1" applyProtection="1">
      <alignment horizontal="center"/>
    </xf>
    <xf numFmtId="0" fontId="1" fillId="2" borderId="98" xfId="9" applyFont="1" applyFill="1" applyBorder="1" applyAlignment="1" applyProtection="1">
      <alignment horizontal="center"/>
    </xf>
    <xf numFmtId="0" fontId="1" fillId="2" borderId="59" xfId="9" applyFont="1" applyFill="1" applyBorder="1" applyAlignment="1" applyProtection="1">
      <alignment horizontal="center"/>
    </xf>
    <xf numFmtId="0" fontId="1" fillId="2" borderId="21" xfId="9" applyFont="1" applyFill="1" applyBorder="1" applyAlignment="1" applyProtection="1">
      <alignment horizontal="center"/>
    </xf>
    <xf numFmtId="49" fontId="1" fillId="2" borderId="52" xfId="9" applyNumberFormat="1" applyFont="1" applyFill="1" applyBorder="1" applyProtection="1"/>
    <xf numFmtId="0" fontId="1" fillId="2" borderId="26" xfId="9" applyFont="1" applyFill="1" applyBorder="1" applyProtection="1"/>
    <xf numFmtId="0" fontId="1" fillId="2" borderId="5" xfId="9" applyFont="1" applyFill="1" applyBorder="1" applyProtection="1"/>
    <xf numFmtId="40" fontId="1" fillId="2" borderId="5" xfId="9" applyNumberFormat="1" applyFont="1" applyFill="1" applyBorder="1" applyProtection="1"/>
    <xf numFmtId="40" fontId="1" fillId="2" borderId="103" xfId="9" applyNumberFormat="1" applyFont="1" applyFill="1" applyBorder="1" applyProtection="1">
      <protection locked="0"/>
    </xf>
    <xf numFmtId="168" fontId="1" fillId="2" borderId="35" xfId="9" applyNumberFormat="1" applyFont="1" applyFill="1" applyBorder="1" applyAlignment="1" applyProtection="1">
      <alignment horizontal="center"/>
    </xf>
    <xf numFmtId="40" fontId="1" fillId="2" borderId="81" xfId="9" applyNumberFormat="1" applyFont="1" applyFill="1" applyBorder="1" applyProtection="1"/>
    <xf numFmtId="10" fontId="1" fillId="2" borderId="22" xfId="16" applyNumberFormat="1" applyFont="1" applyFill="1" applyBorder="1" applyProtection="1"/>
    <xf numFmtId="0" fontId="1" fillId="2" borderId="20" xfId="9" applyFont="1" applyFill="1" applyBorder="1" applyProtection="1"/>
    <xf numFmtId="168" fontId="1" fillId="2" borderId="33" xfId="9" applyNumberFormat="1" applyFont="1" applyFill="1" applyBorder="1" applyAlignment="1" applyProtection="1">
      <alignment horizontal="center"/>
    </xf>
    <xf numFmtId="40" fontId="2" fillId="0" borderId="0" xfId="9" applyNumberFormat="1" applyProtection="1">
      <protection locked="0"/>
    </xf>
    <xf numFmtId="1" fontId="1" fillId="2" borderId="52" xfId="9" applyNumberFormat="1" applyFont="1" applyFill="1" applyBorder="1" applyProtection="1"/>
    <xf numFmtId="1" fontId="1" fillId="2" borderId="20" xfId="9" applyNumberFormat="1" applyFont="1" applyFill="1" applyBorder="1" applyProtection="1"/>
    <xf numFmtId="0" fontId="1" fillId="2" borderId="34" xfId="9" applyFont="1" applyFill="1" applyBorder="1" applyAlignment="1" applyProtection="1">
      <alignment horizontal="center"/>
    </xf>
    <xf numFmtId="0" fontId="1" fillId="2" borderId="33" xfId="9" applyFont="1" applyFill="1" applyBorder="1" applyProtection="1"/>
    <xf numFmtId="40" fontId="1" fillId="2" borderId="33" xfId="9" applyNumberFormat="1" applyFont="1" applyFill="1" applyBorder="1" applyProtection="1"/>
    <xf numFmtId="40" fontId="1" fillId="2" borderId="33" xfId="9" applyNumberFormat="1" applyFont="1" applyFill="1" applyBorder="1" applyProtection="1">
      <protection locked="0"/>
    </xf>
    <xf numFmtId="9" fontId="1" fillId="2" borderId="29" xfId="16" applyFont="1" applyFill="1" applyBorder="1" applyProtection="1"/>
    <xf numFmtId="40" fontId="1" fillId="2" borderId="20" xfId="9" applyNumberFormat="1" applyFont="1" applyFill="1" applyBorder="1" applyProtection="1"/>
    <xf numFmtId="40" fontId="1" fillId="2" borderId="104" xfId="9" applyNumberFormat="1" applyFont="1" applyFill="1" applyBorder="1" applyProtection="1">
      <protection locked="0"/>
    </xf>
    <xf numFmtId="40" fontId="1" fillId="2" borderId="105" xfId="9" applyNumberFormat="1" applyFont="1" applyFill="1" applyBorder="1" applyProtection="1"/>
    <xf numFmtId="40" fontId="1" fillId="2" borderId="98" xfId="9" applyNumberFormat="1" applyFont="1" applyFill="1" applyBorder="1" applyProtection="1"/>
    <xf numFmtId="10" fontId="1" fillId="2" borderId="59" xfId="16" applyNumberFormat="1" applyFont="1" applyFill="1" applyBorder="1" applyProtection="1"/>
    <xf numFmtId="0" fontId="1" fillId="2" borderId="70" xfId="9" applyFont="1" applyFill="1" applyBorder="1" applyProtection="1"/>
    <xf numFmtId="40" fontId="1" fillId="2" borderId="35" xfId="9" applyNumberFormat="1" applyFont="1" applyFill="1" applyBorder="1" applyProtection="1"/>
    <xf numFmtId="0" fontId="1" fillId="2" borderId="34" xfId="9" applyFont="1" applyFill="1" applyBorder="1" applyProtection="1"/>
    <xf numFmtId="40" fontId="1" fillId="2" borderId="43" xfId="9" applyNumberFormat="1" applyFont="1" applyFill="1" applyBorder="1" applyProtection="1"/>
    <xf numFmtId="9" fontId="1" fillId="2" borderId="106" xfId="16" applyFont="1" applyFill="1" applyBorder="1" applyProtection="1"/>
    <xf numFmtId="0" fontId="3" fillId="2" borderId="53" xfId="9" applyFont="1" applyFill="1" applyBorder="1" applyAlignment="1" applyProtection="1">
      <alignment horizontal="centerContinuous"/>
    </xf>
    <xf numFmtId="0" fontId="2" fillId="2" borderId="56" xfId="9" applyFont="1" applyFill="1" applyBorder="1" applyAlignment="1" applyProtection="1">
      <alignment horizontal="centerContinuous"/>
    </xf>
    <xf numFmtId="0" fontId="2" fillId="2" borderId="56" xfId="9" applyFont="1" applyFill="1" applyBorder="1" applyProtection="1"/>
    <xf numFmtId="40" fontId="13" fillId="2" borderId="56" xfId="9" applyNumberFormat="1" applyFont="1" applyFill="1" applyBorder="1" applyProtection="1"/>
    <xf numFmtId="40" fontId="13" fillId="2" borderId="70" xfId="9" applyNumberFormat="1" applyFont="1" applyFill="1" applyBorder="1" applyProtection="1"/>
    <xf numFmtId="40" fontId="13" fillId="2" borderId="107" xfId="9" applyNumberFormat="1" applyFont="1" applyFill="1" applyBorder="1" applyProtection="1">
      <protection locked="0"/>
    </xf>
    <xf numFmtId="40" fontId="13" fillId="2" borderId="0" xfId="9" applyNumberFormat="1" applyFont="1" applyFill="1" applyBorder="1" applyProtection="1"/>
    <xf numFmtId="40" fontId="13" fillId="2" borderId="108" xfId="9" applyNumberFormat="1" applyFont="1" applyFill="1" applyBorder="1" applyProtection="1"/>
    <xf numFmtId="10" fontId="13" fillId="2" borderId="109" xfId="16" applyNumberFormat="1" applyFont="1" applyFill="1" applyBorder="1" applyProtection="1"/>
    <xf numFmtId="0" fontId="3" fillId="2" borderId="74" xfId="9" applyFont="1" applyFill="1" applyBorder="1" applyAlignment="1" applyProtection="1">
      <alignment horizontal="centerContinuous"/>
    </xf>
    <xf numFmtId="0" fontId="2" fillId="2" borderId="65" xfId="9" applyFont="1" applyFill="1" applyBorder="1" applyAlignment="1" applyProtection="1">
      <alignment horizontal="centerContinuous"/>
    </xf>
    <xf numFmtId="0" fontId="2" fillId="2" borderId="65" xfId="9" applyFont="1" applyFill="1" applyBorder="1" applyProtection="1"/>
    <xf numFmtId="10" fontId="13" fillId="2" borderId="65" xfId="16" applyNumberFormat="1" applyFont="1" applyFill="1" applyBorder="1" applyProtection="1"/>
    <xf numFmtId="10" fontId="13" fillId="2" borderId="110" xfId="16" applyNumberFormat="1" applyFont="1" applyFill="1" applyBorder="1" applyProtection="1">
      <protection locked="0"/>
    </xf>
    <xf numFmtId="10" fontId="13" fillId="2" borderId="111" xfId="16" applyNumberFormat="1" applyFont="1" applyFill="1" applyBorder="1" applyProtection="1"/>
    <xf numFmtId="10" fontId="13" fillId="2" borderId="75" xfId="16" applyNumberFormat="1" applyFont="1" applyFill="1" applyBorder="1" applyProtection="1"/>
    <xf numFmtId="0" fontId="3" fillId="2" borderId="112" xfId="9" applyFont="1" applyFill="1" applyBorder="1" applyAlignment="1" applyProtection="1">
      <alignment horizontal="centerContinuous"/>
    </xf>
    <xf numFmtId="0" fontId="2" fillId="2" borderId="101" xfId="9" applyFont="1" applyFill="1" applyBorder="1" applyAlignment="1" applyProtection="1">
      <alignment horizontal="centerContinuous"/>
    </xf>
    <xf numFmtId="0" fontId="2" fillId="2" borderId="101" xfId="9" applyFont="1" applyFill="1" applyBorder="1" applyProtection="1"/>
    <xf numFmtId="10" fontId="13" fillId="2" borderId="101" xfId="16" applyNumberFormat="1" applyFont="1" applyFill="1" applyBorder="1" applyProtection="1"/>
    <xf numFmtId="10" fontId="13" fillId="2" borderId="113" xfId="16" applyNumberFormat="1" applyFont="1" applyFill="1" applyBorder="1" applyProtection="1">
      <protection locked="0"/>
    </xf>
    <xf numFmtId="10" fontId="13" fillId="2" borderId="0" xfId="16" applyNumberFormat="1" applyFont="1" applyFill="1" applyBorder="1" applyProtection="1"/>
    <xf numFmtId="40" fontId="22" fillId="3" borderId="114" xfId="9" applyNumberFormat="1" applyFont="1" applyFill="1" applyBorder="1" applyAlignment="1" applyProtection="1">
      <alignment horizontal="center"/>
    </xf>
    <xf numFmtId="10" fontId="22" fillId="3" borderId="115" xfId="16" applyNumberFormat="1" applyFont="1" applyFill="1" applyBorder="1" applyAlignment="1" applyProtection="1">
      <alignment horizontal="center"/>
    </xf>
    <xf numFmtId="0" fontId="3" fillId="3" borderId="8" xfId="9" applyFont="1" applyFill="1" applyBorder="1" applyAlignment="1" applyProtection="1">
      <alignment horizontal="left" vertical="top"/>
      <protection locked="0"/>
    </xf>
    <xf numFmtId="0" fontId="3" fillId="3" borderId="6" xfId="9" applyFont="1" applyFill="1" applyBorder="1" applyProtection="1">
      <protection locked="0"/>
    </xf>
    <xf numFmtId="0" fontId="3" fillId="3" borderId="116" xfId="9" applyFont="1" applyFill="1" applyBorder="1" applyProtection="1">
      <protection locked="0"/>
    </xf>
    <xf numFmtId="0" fontId="3" fillId="3" borderId="6" xfId="9" applyFont="1" applyFill="1" applyBorder="1" applyAlignment="1" applyProtection="1">
      <alignment horizontal="left" vertical="top"/>
      <protection locked="0"/>
    </xf>
    <xf numFmtId="0" fontId="3" fillId="3" borderId="6" xfId="9" applyFont="1" applyFill="1" applyBorder="1" applyAlignment="1" applyProtection="1">
      <alignment horizontal="centerContinuous" vertical="center"/>
      <protection locked="0"/>
    </xf>
    <xf numFmtId="0" fontId="3" fillId="3" borderId="9" xfId="9" applyFont="1" applyFill="1" applyBorder="1" applyAlignment="1" applyProtection="1">
      <alignment horizontal="centerContinuous" vertical="center"/>
      <protection locked="0"/>
    </xf>
    <xf numFmtId="0" fontId="3" fillId="2" borderId="8" xfId="9" applyFont="1" applyFill="1" applyBorder="1" applyAlignment="1" applyProtection="1">
      <alignment horizontal="left" vertical="top"/>
    </xf>
    <xf numFmtId="0" fontId="3" fillId="2" borderId="6" xfId="9" applyFont="1" applyFill="1" applyBorder="1" applyProtection="1"/>
    <xf numFmtId="0" fontId="3" fillId="0" borderId="116" xfId="9" applyFont="1" applyFill="1" applyBorder="1" applyProtection="1"/>
    <xf numFmtId="0" fontId="3" fillId="2" borderId="6" xfId="9" applyFont="1" applyFill="1" applyBorder="1" applyAlignment="1" applyProtection="1">
      <alignment horizontal="left"/>
    </xf>
    <xf numFmtId="0" fontId="3" fillId="2" borderId="6" xfId="9" applyFont="1" applyFill="1" applyBorder="1" applyAlignment="1" applyProtection="1">
      <alignment horizontal="centerContinuous" vertical="center"/>
    </xf>
    <xf numFmtId="0" fontId="3" fillId="2" borderId="9" xfId="9" applyFont="1" applyFill="1" applyBorder="1" applyProtection="1"/>
    <xf numFmtId="0" fontId="2" fillId="3" borderId="6" xfId="9" applyFont="1" applyFill="1" applyBorder="1" applyProtection="1">
      <protection locked="0"/>
    </xf>
    <xf numFmtId="0" fontId="2" fillId="3" borderId="9" xfId="9" applyFont="1" applyFill="1" applyBorder="1" applyProtection="1">
      <protection locked="0"/>
    </xf>
    <xf numFmtId="0" fontId="2" fillId="3" borderId="10" xfId="9" applyFont="1" applyFill="1" applyBorder="1" applyAlignment="1" applyProtection="1">
      <alignment horizontal="centerContinuous" vertical="center" wrapText="1"/>
      <protection locked="0"/>
    </xf>
    <xf numFmtId="0" fontId="2" fillId="3" borderId="7" xfId="9" applyFill="1" applyBorder="1" applyProtection="1">
      <protection locked="0"/>
    </xf>
    <xf numFmtId="0" fontId="2" fillId="3" borderId="117" xfId="9" applyFill="1" applyBorder="1" applyProtection="1">
      <protection locked="0"/>
    </xf>
    <xf numFmtId="0" fontId="2" fillId="3" borderId="7" xfId="9" applyFont="1" applyFill="1" applyBorder="1" applyAlignment="1" applyProtection="1">
      <alignment horizontal="centerContinuous" vertical="center" wrapText="1"/>
      <protection locked="0"/>
    </xf>
    <xf numFmtId="0" fontId="2" fillId="3" borderId="7" xfId="9" applyFont="1" applyFill="1" applyBorder="1" applyAlignment="1" applyProtection="1">
      <alignment horizontal="left" vertical="center"/>
      <protection locked="0"/>
    </xf>
    <xf numFmtId="0" fontId="2" fillId="3" borderId="11" xfId="9" applyFont="1" applyFill="1" applyBorder="1" applyAlignment="1" applyProtection="1">
      <alignment horizontal="centerContinuous" vertical="center"/>
      <protection locked="0"/>
    </xf>
    <xf numFmtId="0" fontId="2" fillId="2" borderId="10" xfId="9" applyFont="1" applyFill="1" applyBorder="1" applyAlignment="1" applyProtection="1">
      <alignment horizontal="centerContinuous" vertical="center"/>
    </xf>
    <xf numFmtId="14" fontId="2" fillId="2" borderId="7" xfId="9" applyNumberFormat="1" applyFont="1" applyFill="1" applyBorder="1" applyAlignment="1" applyProtection="1">
      <alignment horizontal="center" vertical="center"/>
    </xf>
    <xf numFmtId="0" fontId="2" fillId="2" borderId="7" xfId="9" applyFont="1" applyFill="1" applyBorder="1" applyAlignment="1" applyProtection="1">
      <alignment horizontal="centerContinuous"/>
    </xf>
    <xf numFmtId="0" fontId="2" fillId="0" borderId="117" xfId="9" applyFill="1" applyBorder="1" applyProtection="1"/>
    <xf numFmtId="0" fontId="2" fillId="2" borderId="7" xfId="9" applyFont="1" applyFill="1" applyBorder="1" applyAlignment="1" applyProtection="1">
      <alignment horizontal="centerContinuous" vertical="center" wrapText="1"/>
    </xf>
    <xf numFmtId="0" fontId="2" fillId="2" borderId="7" xfId="9" applyFont="1" applyFill="1" applyBorder="1" applyAlignment="1" applyProtection="1">
      <alignment vertical="center"/>
    </xf>
    <xf numFmtId="17" fontId="2" fillId="2" borderId="11" xfId="9" applyNumberFormat="1" applyFont="1" applyFill="1" applyBorder="1" applyAlignment="1" applyProtection="1">
      <alignment horizontal="center" vertical="center"/>
    </xf>
    <xf numFmtId="17" fontId="2" fillId="3" borderId="7" xfId="9" applyNumberFormat="1" applyFont="1" applyFill="1" applyBorder="1" applyAlignment="1" applyProtection="1">
      <alignment horizontal="center" vertical="center"/>
      <protection locked="0"/>
    </xf>
    <xf numFmtId="14" fontId="3" fillId="3" borderId="7" xfId="9" applyNumberFormat="1" applyFont="1" applyFill="1" applyBorder="1" applyAlignment="1" applyProtection="1">
      <alignment horizontal="center" vertical="center"/>
      <protection locked="0"/>
    </xf>
    <xf numFmtId="17" fontId="2" fillId="3" borderId="11" xfId="9" applyNumberFormat="1" applyFont="1" applyFill="1" applyBorder="1" applyAlignment="1" applyProtection="1">
      <alignment horizontal="center" vertical="center"/>
      <protection locked="0"/>
    </xf>
    <xf numFmtId="0" fontId="10" fillId="2" borderId="14" xfId="9" applyFont="1" applyFill="1" applyBorder="1" applyAlignment="1" applyProtection="1">
      <alignment horizontal="center" wrapText="1"/>
    </xf>
    <xf numFmtId="49" fontId="3" fillId="0" borderId="78" xfId="0" applyNumberFormat="1" applyFont="1" applyFill="1" applyBorder="1" applyAlignment="1" applyProtection="1">
      <alignment horizontal="justify" vertical="center" wrapText="1"/>
      <protection locked="0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horizontal="justify" vertical="center" wrapText="1"/>
    </xf>
  </cellXfs>
  <cellStyles count="17">
    <cellStyle name="Normal" xfId="0" builtinId="0"/>
    <cellStyle name="Normal 2" xfId="3"/>
    <cellStyle name="Normal 3" xfId="6"/>
    <cellStyle name="Normal 3 2" xfId="5"/>
    <cellStyle name="Normal 3 3" xfId="9"/>
    <cellStyle name="Normal 4" xfId="15"/>
    <cellStyle name="Normal_ORÇAMENTO" xfId="1"/>
    <cellStyle name="Normal_ORÇAMENTO ALTERNATIVA 1 DER Junho2001" xfId="2"/>
    <cellStyle name="Porcentagem 2" xfId="4"/>
    <cellStyle name="Porcentagem 3" xfId="16"/>
    <cellStyle name="Porcentagem 4" xfId="11"/>
    <cellStyle name="Vírgula 2" xfId="7"/>
    <cellStyle name="Vírgula 2 2" xfId="10"/>
    <cellStyle name="Vírgula 2 2 2" xfId="14"/>
    <cellStyle name="Vírgula 2 3" xfId="12"/>
    <cellStyle name="Vírgula 3" xfId="8"/>
    <cellStyle name="Vírgula 3 2" xfId="13"/>
  </cellStyles>
  <dxfs count="0"/>
  <tableStyles count="0" defaultTableStyle="TableStyleMedium2" defaultPivotStyle="PivotStyleLight16"/>
  <colors>
    <mruColors>
      <color rgb="FF00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scritoriosregionais\01_sede_curitiba\camila\CRONOGRAMA%20NOVO\SFM\cronograma%20-%20SFM%20-%20pavimenta&#231;&#227;o\CRONOGRAMA%20INDIVIDUAL\Cronograma%20SFM%202017%20PAV-%20INDIVIDU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prazos e áreas"/>
      <sheetName val="CR1"/>
    </sheetNames>
    <sheetDataSet>
      <sheetData sheetId="0">
        <row r="1">
          <cell r="A1" t="str">
            <v>N</v>
          </cell>
          <cell r="B1">
            <v>3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</row>
        <row r="2">
          <cell r="A2" t="str">
            <v>3|1</v>
          </cell>
          <cell r="B2">
            <v>1</v>
          </cell>
          <cell r="C2" t="str">
            <v>SERVIÇOS PRELIMINARES</v>
          </cell>
          <cell r="D2">
            <v>1</v>
          </cell>
          <cell r="E2">
            <v>50</v>
          </cell>
          <cell r="F2">
            <v>50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</row>
        <row r="3">
          <cell r="A3" t="str">
            <v>3|2</v>
          </cell>
          <cell r="B3" t="str">
            <v>2</v>
          </cell>
          <cell r="C3" t="str">
            <v>TERRAPLENAGEM</v>
          </cell>
          <cell r="D3">
            <v>2</v>
          </cell>
          <cell r="E3">
            <v>50</v>
          </cell>
          <cell r="F3">
            <v>50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 t="str">
            <v>3|3</v>
          </cell>
          <cell r="B4" t="str">
            <v>3</v>
          </cell>
          <cell r="C4" t="str">
            <v>BASE / SUB-BASE</v>
          </cell>
          <cell r="D4">
            <v>3</v>
          </cell>
          <cell r="E4">
            <v>25</v>
          </cell>
          <cell r="F4">
            <v>60</v>
          </cell>
          <cell r="G4">
            <v>15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 t="str">
            <v>3|4</v>
          </cell>
          <cell r="B5" t="str">
            <v>4</v>
          </cell>
          <cell r="C5" t="str">
            <v>REVESTIMENTO</v>
          </cell>
          <cell r="D5">
            <v>4</v>
          </cell>
          <cell r="E5">
            <v>0</v>
          </cell>
          <cell r="F5">
            <v>50</v>
          </cell>
          <cell r="G5">
            <v>50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 t="str">
            <v>3|5</v>
          </cell>
          <cell r="B6" t="str">
            <v>5</v>
          </cell>
          <cell r="C6" t="str">
            <v>MEIO-FIO E SARJETA</v>
          </cell>
          <cell r="D6">
            <v>5</v>
          </cell>
          <cell r="E6">
            <v>20</v>
          </cell>
          <cell r="F6">
            <v>50</v>
          </cell>
          <cell r="G6">
            <v>30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</row>
        <row r="7">
          <cell r="A7" t="str">
            <v>3|6</v>
          </cell>
          <cell r="B7" t="str">
            <v>6</v>
          </cell>
          <cell r="C7" t="str">
            <v>PAISAGISMO / URBANISMO</v>
          </cell>
          <cell r="D7">
            <v>3</v>
          </cell>
          <cell r="E7">
            <v>0</v>
          </cell>
          <cell r="F7">
            <v>50</v>
          </cell>
          <cell r="G7">
            <v>50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</row>
        <row r="8">
          <cell r="A8" t="str">
            <v>3|7</v>
          </cell>
          <cell r="B8" t="str">
            <v>7</v>
          </cell>
          <cell r="C8" t="str">
            <v>SINALIZAÇÃO DE TRÂNSITO</v>
          </cell>
          <cell r="D8">
            <v>5</v>
          </cell>
          <cell r="E8">
            <v>0</v>
          </cell>
          <cell r="F8">
            <v>20</v>
          </cell>
          <cell r="G8">
            <v>80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A9" t="str">
            <v>3|8</v>
          </cell>
          <cell r="B9" t="str">
            <v>8</v>
          </cell>
          <cell r="C9" t="str">
            <v>ILUMINAÇÃO PÚBLICA</v>
          </cell>
          <cell r="D9">
            <v>6</v>
          </cell>
          <cell r="E9">
            <v>0</v>
          </cell>
          <cell r="F9">
            <v>50</v>
          </cell>
          <cell r="G9">
            <v>50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</row>
        <row r="10">
          <cell r="A10" t="str">
            <v>3|9</v>
          </cell>
          <cell r="B10" t="str">
            <v>9</v>
          </cell>
          <cell r="C10" t="str">
            <v>SERVIÇOS DIVERSOS</v>
          </cell>
          <cell r="D10">
            <v>6</v>
          </cell>
          <cell r="E10">
            <v>30</v>
          </cell>
          <cell r="F10">
            <v>40</v>
          </cell>
          <cell r="G10">
            <v>30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1">
          <cell r="A11" t="str">
            <v>3|10</v>
          </cell>
          <cell r="B11" t="str">
            <v>10</v>
          </cell>
          <cell r="C11" t="str">
            <v>DRENAGEM</v>
          </cell>
          <cell r="D11">
            <v>0</v>
          </cell>
          <cell r="E11">
            <v>60</v>
          </cell>
          <cell r="F11">
            <v>40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</row>
        <row r="12">
          <cell r="A12" t="str">
            <v>3|11</v>
          </cell>
          <cell r="B12" t="str">
            <v>11</v>
          </cell>
          <cell r="C12" t="str">
            <v>ENSAIOS TECNOLÓGICOS</v>
          </cell>
          <cell r="D12">
            <v>0</v>
          </cell>
          <cell r="E12">
            <v>15</v>
          </cell>
          <cell r="F12">
            <v>60</v>
          </cell>
          <cell r="G12">
            <v>25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4">
          <cell r="A14" t="str">
            <v>N</v>
          </cell>
          <cell r="B14">
            <v>4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</row>
        <row r="15">
          <cell r="A15" t="str">
            <v>4|1</v>
          </cell>
          <cell r="B15">
            <v>1</v>
          </cell>
          <cell r="C15" t="str">
            <v>SERVIÇOS PRELIMINARES</v>
          </cell>
          <cell r="D15">
            <v>1</v>
          </cell>
          <cell r="E15">
            <v>45</v>
          </cell>
          <cell r="F15">
            <v>45</v>
          </cell>
          <cell r="G15">
            <v>10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A16" t="str">
            <v>4|2</v>
          </cell>
          <cell r="B16" t="str">
            <v>2</v>
          </cell>
          <cell r="C16" t="str">
            <v>TERRAPLENAGEM</v>
          </cell>
          <cell r="D16">
            <v>2</v>
          </cell>
          <cell r="E16">
            <v>40</v>
          </cell>
          <cell r="F16">
            <v>40</v>
          </cell>
          <cell r="G16">
            <v>20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A17" t="str">
            <v>4|3</v>
          </cell>
          <cell r="B17" t="str">
            <v>3</v>
          </cell>
          <cell r="C17" t="str">
            <v>BASE / SUB-BASE</v>
          </cell>
          <cell r="D17">
            <v>3</v>
          </cell>
          <cell r="E17">
            <v>20</v>
          </cell>
          <cell r="F17">
            <v>35</v>
          </cell>
          <cell r="G17">
            <v>35</v>
          </cell>
          <cell r="H17">
            <v>10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</row>
        <row r="18">
          <cell r="A18" t="str">
            <v>4|4</v>
          </cell>
          <cell r="B18" t="str">
            <v>4</v>
          </cell>
          <cell r="C18" t="str">
            <v>REVESTIMENTO</v>
          </cell>
          <cell r="D18">
            <v>4</v>
          </cell>
          <cell r="E18">
            <v>0</v>
          </cell>
          <cell r="F18">
            <v>35</v>
          </cell>
          <cell r="G18">
            <v>35</v>
          </cell>
          <cell r="H18">
            <v>30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A19" t="str">
            <v>4|5</v>
          </cell>
          <cell r="B19" t="str">
            <v>5</v>
          </cell>
          <cell r="C19" t="str">
            <v>MEIO-FIO E SARJETA</v>
          </cell>
          <cell r="D19">
            <v>5</v>
          </cell>
          <cell r="E19">
            <v>10</v>
          </cell>
          <cell r="F19">
            <v>35</v>
          </cell>
          <cell r="G19">
            <v>35</v>
          </cell>
          <cell r="H19">
            <v>20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A20" t="str">
            <v>4|6</v>
          </cell>
          <cell r="B20" t="str">
            <v>6</v>
          </cell>
          <cell r="C20" t="str">
            <v>PAISAGISMO / URBANISMO</v>
          </cell>
          <cell r="D20">
            <v>3</v>
          </cell>
          <cell r="E20">
            <v>0</v>
          </cell>
          <cell r="F20">
            <v>35</v>
          </cell>
          <cell r="G20">
            <v>35</v>
          </cell>
          <cell r="H20">
            <v>30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A21" t="str">
            <v>4|7</v>
          </cell>
          <cell r="B21" t="str">
            <v>7</v>
          </cell>
          <cell r="C21" t="str">
            <v>SINALIZAÇÃO DE TRÂNSITO</v>
          </cell>
          <cell r="D21">
            <v>5</v>
          </cell>
          <cell r="E21">
            <v>0</v>
          </cell>
          <cell r="F21">
            <v>15</v>
          </cell>
          <cell r="G21">
            <v>60</v>
          </cell>
          <cell r="H21">
            <v>25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</row>
        <row r="22">
          <cell r="A22" t="str">
            <v>4|8</v>
          </cell>
          <cell r="B22" t="str">
            <v>8</v>
          </cell>
          <cell r="C22" t="str">
            <v>ILUMINAÇÃO PÚBLICA</v>
          </cell>
          <cell r="D22">
            <v>6</v>
          </cell>
          <cell r="E22">
            <v>0</v>
          </cell>
          <cell r="F22">
            <v>30</v>
          </cell>
          <cell r="G22">
            <v>40</v>
          </cell>
          <cell r="H22">
            <v>30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A23" t="str">
            <v>4|9</v>
          </cell>
          <cell r="B23" t="str">
            <v>9</v>
          </cell>
          <cell r="C23" t="str">
            <v>SERVIÇOS DIVERSOS</v>
          </cell>
          <cell r="D23">
            <v>6</v>
          </cell>
          <cell r="E23">
            <v>10</v>
          </cell>
          <cell r="F23">
            <v>35</v>
          </cell>
          <cell r="G23">
            <v>35</v>
          </cell>
          <cell r="H23">
            <v>20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</row>
        <row r="24">
          <cell r="A24" t="str">
            <v>4|10</v>
          </cell>
          <cell r="B24" t="str">
            <v>10</v>
          </cell>
          <cell r="C24" t="str">
            <v>DRENAGEM</v>
          </cell>
          <cell r="D24">
            <v>0</v>
          </cell>
          <cell r="E24">
            <v>40</v>
          </cell>
          <cell r="F24">
            <v>40</v>
          </cell>
          <cell r="G24">
            <v>20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A25" t="str">
            <v>4|11</v>
          </cell>
          <cell r="B25" t="str">
            <v>11</v>
          </cell>
          <cell r="C25" t="str">
            <v>ENSAIOS TECNOLÓGICOS</v>
          </cell>
          <cell r="D25">
            <v>0</v>
          </cell>
          <cell r="E25">
            <v>10</v>
          </cell>
          <cell r="F25">
            <v>35</v>
          </cell>
          <cell r="G25">
            <v>35</v>
          </cell>
          <cell r="H25">
            <v>20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7">
          <cell r="A27" t="str">
            <v>N</v>
          </cell>
          <cell r="B27">
            <v>5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</row>
        <row r="28">
          <cell r="A28" t="str">
            <v>5|1</v>
          </cell>
          <cell r="B28">
            <v>1</v>
          </cell>
          <cell r="C28" t="str">
            <v>SERVIÇOS PRELIMINARES</v>
          </cell>
          <cell r="D28">
            <v>1</v>
          </cell>
          <cell r="E28">
            <v>40</v>
          </cell>
          <cell r="F28">
            <v>30</v>
          </cell>
          <cell r="G28">
            <v>25</v>
          </cell>
          <cell r="H28">
            <v>5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A29" t="str">
            <v>5|2</v>
          </cell>
          <cell r="B29" t="str">
            <v>2</v>
          </cell>
          <cell r="C29" t="str">
            <v>TERRAPLENAGEM</v>
          </cell>
          <cell r="D29">
            <v>2</v>
          </cell>
          <cell r="E29">
            <v>30</v>
          </cell>
          <cell r="F29">
            <v>30</v>
          </cell>
          <cell r="G29">
            <v>30</v>
          </cell>
          <cell r="H29">
            <v>10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</row>
        <row r="30">
          <cell r="A30" t="str">
            <v>5|3</v>
          </cell>
          <cell r="B30" t="str">
            <v>3</v>
          </cell>
          <cell r="C30" t="str">
            <v>BASE / SUB-BASE</v>
          </cell>
          <cell r="D30">
            <v>3</v>
          </cell>
          <cell r="E30">
            <v>10</v>
          </cell>
          <cell r="F30">
            <v>30</v>
          </cell>
          <cell r="G30">
            <v>30</v>
          </cell>
          <cell r="H30">
            <v>25</v>
          </cell>
          <cell r="I30">
            <v>5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A31" t="str">
            <v>5|4</v>
          </cell>
          <cell r="B31" t="str">
            <v>4</v>
          </cell>
          <cell r="C31" t="str">
            <v>REVESTIMENTO</v>
          </cell>
          <cell r="D31">
            <v>4</v>
          </cell>
          <cell r="E31">
            <v>0</v>
          </cell>
          <cell r="F31">
            <v>15</v>
          </cell>
          <cell r="G31">
            <v>30</v>
          </cell>
          <cell r="H31">
            <v>30</v>
          </cell>
          <cell r="I31">
            <v>25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5|5</v>
          </cell>
          <cell r="B32" t="str">
            <v>5</v>
          </cell>
          <cell r="C32" t="str">
            <v>MEIO-FIO E SARJETA</v>
          </cell>
          <cell r="D32">
            <v>5</v>
          </cell>
          <cell r="E32">
            <v>0</v>
          </cell>
          <cell r="F32">
            <v>25</v>
          </cell>
          <cell r="G32">
            <v>35</v>
          </cell>
          <cell r="H32">
            <v>35</v>
          </cell>
          <cell r="I32">
            <v>5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A33" t="str">
            <v>5|6</v>
          </cell>
          <cell r="B33" t="str">
            <v>6</v>
          </cell>
          <cell r="C33" t="str">
            <v>PAISAGISMO / URBANISMO</v>
          </cell>
          <cell r="D33">
            <v>3</v>
          </cell>
          <cell r="E33">
            <v>0</v>
          </cell>
          <cell r="F33">
            <v>5</v>
          </cell>
          <cell r="G33">
            <v>40</v>
          </cell>
          <cell r="H33">
            <v>30</v>
          </cell>
          <cell r="I33">
            <v>25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A34" t="str">
            <v>5|7</v>
          </cell>
          <cell r="B34" t="str">
            <v>7</v>
          </cell>
          <cell r="C34" t="str">
            <v>SINALIZAÇÃO DE TRÂNSITO</v>
          </cell>
          <cell r="D34">
            <v>5</v>
          </cell>
          <cell r="E34">
            <v>0</v>
          </cell>
          <cell r="F34">
            <v>10</v>
          </cell>
          <cell r="G34">
            <v>35</v>
          </cell>
          <cell r="H34">
            <v>35</v>
          </cell>
          <cell r="I34">
            <v>20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A35" t="str">
            <v>5|8</v>
          </cell>
          <cell r="B35" t="str">
            <v>8</v>
          </cell>
          <cell r="C35" t="str">
            <v>ILUMINAÇÃO PÚBLICA</v>
          </cell>
          <cell r="D35">
            <v>6</v>
          </cell>
          <cell r="E35">
            <v>0</v>
          </cell>
          <cell r="F35">
            <v>10</v>
          </cell>
          <cell r="G35">
            <v>35</v>
          </cell>
          <cell r="H35">
            <v>35</v>
          </cell>
          <cell r="I35">
            <v>20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A36" t="str">
            <v>5|9</v>
          </cell>
          <cell r="B36" t="str">
            <v>9</v>
          </cell>
          <cell r="C36" t="str">
            <v>SERVIÇOS DIVERSOS</v>
          </cell>
          <cell r="D36">
            <v>6</v>
          </cell>
          <cell r="E36">
            <v>5</v>
          </cell>
          <cell r="F36">
            <v>25</v>
          </cell>
          <cell r="G36">
            <v>25</v>
          </cell>
          <cell r="H36">
            <v>25</v>
          </cell>
          <cell r="I36">
            <v>20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A37" t="str">
            <v>5|10</v>
          </cell>
          <cell r="B37" t="str">
            <v>10</v>
          </cell>
          <cell r="C37" t="str">
            <v>DRENAGEM</v>
          </cell>
          <cell r="D37">
            <v>0</v>
          </cell>
          <cell r="E37">
            <v>25</v>
          </cell>
          <cell r="F37">
            <v>30</v>
          </cell>
          <cell r="G37">
            <v>30</v>
          </cell>
          <cell r="H37">
            <v>15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A38" t="str">
            <v>5|11</v>
          </cell>
          <cell r="B38" t="str">
            <v>11</v>
          </cell>
          <cell r="C38" t="str">
            <v>ENSAIOS TECNOLÓGICOS</v>
          </cell>
          <cell r="D38">
            <v>0</v>
          </cell>
          <cell r="E38">
            <v>7</v>
          </cell>
          <cell r="F38">
            <v>21</v>
          </cell>
          <cell r="G38">
            <v>27</v>
          </cell>
          <cell r="H38">
            <v>28</v>
          </cell>
          <cell r="I38">
            <v>17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  <row r="40">
          <cell r="A40" t="str">
            <v>N</v>
          </cell>
          <cell r="B40">
            <v>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</row>
        <row r="41">
          <cell r="A41" t="str">
            <v>6|1</v>
          </cell>
          <cell r="B41">
            <v>1</v>
          </cell>
          <cell r="C41" t="str">
            <v>SERVIÇOS PRELIMINARES</v>
          </cell>
          <cell r="D41">
            <v>1</v>
          </cell>
          <cell r="E41">
            <v>20</v>
          </cell>
          <cell r="F41">
            <v>30</v>
          </cell>
          <cell r="G41">
            <v>30</v>
          </cell>
          <cell r="H41">
            <v>20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A42" t="str">
            <v>6|2</v>
          </cell>
          <cell r="B42" t="str">
            <v>2</v>
          </cell>
          <cell r="C42" t="str">
            <v>TERRAPLENAGEM</v>
          </cell>
          <cell r="D42">
            <v>2</v>
          </cell>
          <cell r="E42">
            <v>15</v>
          </cell>
          <cell r="F42">
            <v>25</v>
          </cell>
          <cell r="G42">
            <v>30</v>
          </cell>
          <cell r="H42">
            <v>25</v>
          </cell>
          <cell r="I42">
            <v>5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</row>
        <row r="43">
          <cell r="A43" t="str">
            <v>6|3</v>
          </cell>
          <cell r="B43" t="str">
            <v>3</v>
          </cell>
          <cell r="C43" t="str">
            <v>BASE / SUB-BASE</v>
          </cell>
          <cell r="D43">
            <v>3</v>
          </cell>
          <cell r="E43">
            <v>5</v>
          </cell>
          <cell r="F43">
            <v>20</v>
          </cell>
          <cell r="G43">
            <v>30</v>
          </cell>
          <cell r="H43">
            <v>25</v>
          </cell>
          <cell r="I43">
            <v>20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A44" t="str">
            <v>6|4</v>
          </cell>
          <cell r="B44" t="str">
            <v>4</v>
          </cell>
          <cell r="C44" t="str">
            <v>REVESTIMENTO</v>
          </cell>
          <cell r="D44">
            <v>4</v>
          </cell>
          <cell r="E44">
            <v>0</v>
          </cell>
          <cell r="F44">
            <v>5</v>
          </cell>
          <cell r="G44">
            <v>20</v>
          </cell>
          <cell r="H44">
            <v>30</v>
          </cell>
          <cell r="I44">
            <v>25</v>
          </cell>
          <cell r="J44">
            <v>20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</row>
        <row r="45">
          <cell r="A45" t="str">
            <v>6|5</v>
          </cell>
          <cell r="B45" t="str">
            <v>5</v>
          </cell>
          <cell r="C45" t="str">
            <v>MEIO-FIO E SARJETA</v>
          </cell>
          <cell r="D45">
            <v>5</v>
          </cell>
          <cell r="E45">
            <v>0</v>
          </cell>
          <cell r="F45">
            <v>15</v>
          </cell>
          <cell r="G45">
            <v>30</v>
          </cell>
          <cell r="H45">
            <v>30</v>
          </cell>
          <cell r="I45">
            <v>25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A46" t="str">
            <v>6|6</v>
          </cell>
          <cell r="B46" t="str">
            <v>6</v>
          </cell>
          <cell r="C46" t="str">
            <v>PAISAGISMO / URBANISMO</v>
          </cell>
          <cell r="D46">
            <v>3</v>
          </cell>
          <cell r="E46">
            <v>0</v>
          </cell>
          <cell r="F46">
            <v>5</v>
          </cell>
          <cell r="G46">
            <v>10</v>
          </cell>
          <cell r="H46">
            <v>30</v>
          </cell>
          <cell r="I46">
            <v>30</v>
          </cell>
          <cell r="J46">
            <v>25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</row>
        <row r="47">
          <cell r="A47" t="str">
            <v>6|7</v>
          </cell>
          <cell r="B47" t="str">
            <v>7</v>
          </cell>
          <cell r="C47" t="str">
            <v>SINALIZAÇÃO DE TRÂNSITO</v>
          </cell>
          <cell r="D47">
            <v>5</v>
          </cell>
          <cell r="E47">
            <v>0</v>
          </cell>
          <cell r="F47">
            <v>0</v>
          </cell>
          <cell r="G47">
            <v>20</v>
          </cell>
          <cell r="H47">
            <v>20</v>
          </cell>
          <cell r="I47">
            <v>30</v>
          </cell>
          <cell r="J47">
            <v>30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A48" t="str">
            <v>6|8</v>
          </cell>
          <cell r="B48" t="str">
            <v>8</v>
          </cell>
          <cell r="C48" t="str">
            <v>ILUMINAÇÃO PÚBLICA</v>
          </cell>
          <cell r="D48">
            <v>6</v>
          </cell>
          <cell r="E48">
            <v>0</v>
          </cell>
          <cell r="F48">
            <v>0</v>
          </cell>
          <cell r="G48">
            <v>20</v>
          </cell>
          <cell r="H48">
            <v>30</v>
          </cell>
          <cell r="I48">
            <v>30</v>
          </cell>
          <cell r="J48">
            <v>20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</row>
        <row r="49">
          <cell r="A49" t="str">
            <v>6|9</v>
          </cell>
          <cell r="B49" t="str">
            <v>9</v>
          </cell>
          <cell r="C49" t="str">
            <v>SERVIÇOS DIVERSOS</v>
          </cell>
          <cell r="D49">
            <v>6</v>
          </cell>
          <cell r="E49">
            <v>5</v>
          </cell>
          <cell r="F49">
            <v>15</v>
          </cell>
          <cell r="G49">
            <v>25</v>
          </cell>
          <cell r="H49">
            <v>25</v>
          </cell>
          <cell r="I49">
            <v>20</v>
          </cell>
          <cell r="J49">
            <v>10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</row>
        <row r="50">
          <cell r="A50" t="str">
            <v>6|10</v>
          </cell>
          <cell r="B50" t="str">
            <v>10</v>
          </cell>
          <cell r="C50" t="str">
            <v>DRENAGEM</v>
          </cell>
          <cell r="D50">
            <v>0</v>
          </cell>
          <cell r="E50">
            <v>20</v>
          </cell>
          <cell r="F50">
            <v>30</v>
          </cell>
          <cell r="G50">
            <v>30</v>
          </cell>
          <cell r="H50">
            <v>15</v>
          </cell>
          <cell r="I50">
            <v>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</row>
        <row r="51">
          <cell r="A51" t="str">
            <v>6|11</v>
          </cell>
          <cell r="B51" t="str">
            <v>11</v>
          </cell>
          <cell r="C51" t="str">
            <v>ENSAIOS TECNOLÓGICOS</v>
          </cell>
          <cell r="D51">
            <v>0</v>
          </cell>
          <cell r="E51">
            <v>3</v>
          </cell>
          <cell r="F51">
            <v>12</v>
          </cell>
          <cell r="G51">
            <v>25</v>
          </cell>
          <cell r="H51">
            <v>28</v>
          </cell>
          <cell r="I51">
            <v>21</v>
          </cell>
          <cell r="J51">
            <v>11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</row>
        <row r="53">
          <cell r="A53" t="str">
            <v>N</v>
          </cell>
          <cell r="B53">
            <v>7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</row>
        <row r="54">
          <cell r="A54" t="str">
            <v>7|1</v>
          </cell>
          <cell r="B54">
            <v>1</v>
          </cell>
          <cell r="C54" t="str">
            <v>SERVIÇOS PRELIMINARES</v>
          </cell>
          <cell r="D54">
            <v>1</v>
          </cell>
          <cell r="E54">
            <v>15</v>
          </cell>
          <cell r="F54">
            <v>30</v>
          </cell>
          <cell r="G54">
            <v>30</v>
          </cell>
          <cell r="H54">
            <v>20</v>
          </cell>
          <cell r="I54">
            <v>5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</row>
        <row r="55">
          <cell r="A55" t="str">
            <v>7|2</v>
          </cell>
          <cell r="B55" t="str">
            <v>2</v>
          </cell>
          <cell r="C55" t="str">
            <v>TERRAPLENAGEM</v>
          </cell>
          <cell r="D55">
            <v>2</v>
          </cell>
          <cell r="E55">
            <v>15</v>
          </cell>
          <cell r="F55">
            <v>20</v>
          </cell>
          <cell r="G55">
            <v>25</v>
          </cell>
          <cell r="H55">
            <v>25</v>
          </cell>
          <cell r="I55">
            <v>15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</row>
        <row r="56">
          <cell r="A56" t="str">
            <v>7|3</v>
          </cell>
          <cell r="B56" t="str">
            <v>3</v>
          </cell>
          <cell r="C56" t="str">
            <v>BASE / SUB-BASE</v>
          </cell>
          <cell r="D56">
            <v>3</v>
          </cell>
          <cell r="E56">
            <v>5</v>
          </cell>
          <cell r="F56">
            <v>15</v>
          </cell>
          <cell r="G56">
            <v>20</v>
          </cell>
          <cell r="H56">
            <v>25</v>
          </cell>
          <cell r="I56">
            <v>20</v>
          </cell>
          <cell r="J56">
            <v>15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</row>
        <row r="57">
          <cell r="A57" t="str">
            <v>7|4</v>
          </cell>
          <cell r="B57" t="str">
            <v>4</v>
          </cell>
          <cell r="C57" t="str">
            <v>REVESTIMENTO</v>
          </cell>
          <cell r="D57">
            <v>4</v>
          </cell>
          <cell r="E57">
            <v>0</v>
          </cell>
          <cell r="F57">
            <v>0</v>
          </cell>
          <cell r="G57">
            <v>15</v>
          </cell>
          <cell r="H57">
            <v>25</v>
          </cell>
          <cell r="I57">
            <v>25</v>
          </cell>
          <cell r="J57">
            <v>25</v>
          </cell>
          <cell r="K57">
            <v>10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</row>
        <row r="58">
          <cell r="A58" t="str">
            <v>7|5</v>
          </cell>
          <cell r="B58" t="str">
            <v>5</v>
          </cell>
          <cell r="C58" t="str">
            <v>MEIO-FIO E SARJETA</v>
          </cell>
          <cell r="D58">
            <v>5</v>
          </cell>
          <cell r="E58">
            <v>0</v>
          </cell>
          <cell r="F58">
            <v>10</v>
          </cell>
          <cell r="G58">
            <v>15</v>
          </cell>
          <cell r="H58">
            <v>30</v>
          </cell>
          <cell r="I58">
            <v>30</v>
          </cell>
          <cell r="J58">
            <v>15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</row>
        <row r="59">
          <cell r="A59" t="str">
            <v>7|6</v>
          </cell>
          <cell r="B59" t="str">
            <v>6</v>
          </cell>
          <cell r="C59" t="str">
            <v>PAISAGISMO / URBANISMO</v>
          </cell>
          <cell r="D59">
            <v>3</v>
          </cell>
          <cell r="E59">
            <v>0</v>
          </cell>
          <cell r="F59">
            <v>5</v>
          </cell>
          <cell r="G59">
            <v>10</v>
          </cell>
          <cell r="H59">
            <v>25</v>
          </cell>
          <cell r="I59">
            <v>25</v>
          </cell>
          <cell r="J59">
            <v>20</v>
          </cell>
          <cell r="K59">
            <v>15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7|7</v>
          </cell>
          <cell r="B60" t="str">
            <v>7</v>
          </cell>
          <cell r="C60" t="str">
            <v>SINALIZAÇÃO DE TRÂNSITO</v>
          </cell>
          <cell r="D60">
            <v>5</v>
          </cell>
          <cell r="E60">
            <v>0</v>
          </cell>
          <cell r="F60">
            <v>0</v>
          </cell>
          <cell r="G60">
            <v>15</v>
          </cell>
          <cell r="H60">
            <v>15</v>
          </cell>
          <cell r="I60">
            <v>25</v>
          </cell>
          <cell r="J60">
            <v>25</v>
          </cell>
          <cell r="K60">
            <v>20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</row>
        <row r="61">
          <cell r="A61" t="str">
            <v>7|8</v>
          </cell>
          <cell r="B61" t="str">
            <v>8</v>
          </cell>
          <cell r="C61" t="str">
            <v>ILUMINAÇÃO PÚBLICA</v>
          </cell>
          <cell r="D61">
            <v>6</v>
          </cell>
          <cell r="E61">
            <v>0</v>
          </cell>
          <cell r="F61">
            <v>0</v>
          </cell>
          <cell r="G61">
            <v>10</v>
          </cell>
          <cell r="H61">
            <v>20</v>
          </cell>
          <cell r="I61">
            <v>20</v>
          </cell>
          <cell r="J61">
            <v>30</v>
          </cell>
          <cell r="K61">
            <v>20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</row>
        <row r="62">
          <cell r="A62" t="str">
            <v>7|9</v>
          </cell>
          <cell r="B62" t="str">
            <v>9</v>
          </cell>
          <cell r="C62" t="str">
            <v>SERVIÇOS DIVERSOS</v>
          </cell>
          <cell r="D62">
            <v>6</v>
          </cell>
          <cell r="E62">
            <v>5</v>
          </cell>
          <cell r="F62">
            <v>10</v>
          </cell>
          <cell r="G62">
            <v>20</v>
          </cell>
          <cell r="H62">
            <v>20</v>
          </cell>
          <cell r="I62">
            <v>20</v>
          </cell>
          <cell r="J62">
            <v>15</v>
          </cell>
          <cell r="K62">
            <v>10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</row>
        <row r="63">
          <cell r="A63" t="str">
            <v>7|10</v>
          </cell>
          <cell r="B63" t="str">
            <v>10</v>
          </cell>
          <cell r="C63" t="str">
            <v>DRENAGEM</v>
          </cell>
          <cell r="D63">
            <v>0</v>
          </cell>
          <cell r="E63">
            <v>15</v>
          </cell>
          <cell r="F63">
            <v>25</v>
          </cell>
          <cell r="G63">
            <v>25</v>
          </cell>
          <cell r="H63">
            <v>20</v>
          </cell>
          <cell r="I63">
            <v>10</v>
          </cell>
          <cell r="J63">
            <v>5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</row>
        <row r="64">
          <cell r="A64" t="str">
            <v>7|11</v>
          </cell>
          <cell r="B64" t="str">
            <v>11</v>
          </cell>
          <cell r="C64" t="str">
            <v>ENSAIOS TECNOLÓGICOS</v>
          </cell>
          <cell r="D64">
            <v>0</v>
          </cell>
          <cell r="E64">
            <v>2</v>
          </cell>
          <cell r="F64">
            <v>8</v>
          </cell>
          <cell r="G64">
            <v>18</v>
          </cell>
          <cell r="H64">
            <v>20</v>
          </cell>
          <cell r="I64">
            <v>20</v>
          </cell>
          <cell r="J64">
            <v>20</v>
          </cell>
          <cell r="K64">
            <v>12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6">
          <cell r="A66" t="str">
            <v>N</v>
          </cell>
          <cell r="B66">
            <v>8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A67" t="str">
            <v>8|1</v>
          </cell>
          <cell r="B67">
            <v>1</v>
          </cell>
          <cell r="C67" t="str">
            <v>SERVIÇOS PRELIMINARES</v>
          </cell>
          <cell r="D67">
            <v>1</v>
          </cell>
          <cell r="E67">
            <v>15</v>
          </cell>
          <cell r="F67">
            <v>20</v>
          </cell>
          <cell r="G67">
            <v>25</v>
          </cell>
          <cell r="H67">
            <v>25</v>
          </cell>
          <cell r="I67">
            <v>10</v>
          </cell>
          <cell r="J67">
            <v>5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</row>
        <row r="68">
          <cell r="A68" t="str">
            <v>8|2</v>
          </cell>
          <cell r="B68" t="str">
            <v>2</v>
          </cell>
          <cell r="C68" t="str">
            <v>TERRAPLENAGEM</v>
          </cell>
          <cell r="D68">
            <v>2</v>
          </cell>
          <cell r="E68">
            <v>15</v>
          </cell>
          <cell r="F68">
            <v>20</v>
          </cell>
          <cell r="G68">
            <v>25</v>
          </cell>
          <cell r="H68">
            <v>25</v>
          </cell>
          <cell r="I68">
            <v>10</v>
          </cell>
          <cell r="J68">
            <v>5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A69" t="str">
            <v>8|3</v>
          </cell>
          <cell r="B69" t="str">
            <v>3</v>
          </cell>
          <cell r="C69" t="str">
            <v>BASE / SUB-BASE</v>
          </cell>
          <cell r="D69">
            <v>3</v>
          </cell>
          <cell r="E69">
            <v>5</v>
          </cell>
          <cell r="F69">
            <v>10</v>
          </cell>
          <cell r="G69">
            <v>15</v>
          </cell>
          <cell r="H69">
            <v>20</v>
          </cell>
          <cell r="I69">
            <v>20</v>
          </cell>
          <cell r="J69">
            <v>20</v>
          </cell>
          <cell r="K69">
            <v>10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</row>
        <row r="70">
          <cell r="A70" t="str">
            <v>8|4</v>
          </cell>
          <cell r="B70" t="str">
            <v>4</v>
          </cell>
          <cell r="C70" t="str">
            <v>REVESTIMENTO</v>
          </cell>
          <cell r="D70">
            <v>4</v>
          </cell>
          <cell r="E70">
            <v>0</v>
          </cell>
          <cell r="F70">
            <v>0</v>
          </cell>
          <cell r="G70">
            <v>10</v>
          </cell>
          <cell r="H70">
            <v>25</v>
          </cell>
          <cell r="I70">
            <v>25</v>
          </cell>
          <cell r="J70">
            <v>20</v>
          </cell>
          <cell r="K70">
            <v>10</v>
          </cell>
          <cell r="L70">
            <v>10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A71" t="str">
            <v>8|5</v>
          </cell>
          <cell r="B71" t="str">
            <v>5</v>
          </cell>
          <cell r="C71" t="str">
            <v>MEIO-FIO E SARJETA</v>
          </cell>
          <cell r="D71">
            <v>5</v>
          </cell>
          <cell r="E71">
            <v>0</v>
          </cell>
          <cell r="F71">
            <v>5</v>
          </cell>
          <cell r="G71">
            <v>15</v>
          </cell>
          <cell r="H71">
            <v>25</v>
          </cell>
          <cell r="I71">
            <v>25</v>
          </cell>
          <cell r="J71">
            <v>15</v>
          </cell>
          <cell r="K71">
            <v>15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</row>
        <row r="72">
          <cell r="A72" t="str">
            <v>8|6</v>
          </cell>
          <cell r="B72" t="str">
            <v>6</v>
          </cell>
          <cell r="C72" t="str">
            <v>PAISAGISMO / URBANISMO</v>
          </cell>
          <cell r="D72">
            <v>3</v>
          </cell>
          <cell r="E72">
            <v>0</v>
          </cell>
          <cell r="F72">
            <v>0</v>
          </cell>
          <cell r="G72">
            <v>5</v>
          </cell>
          <cell r="H72">
            <v>20</v>
          </cell>
          <cell r="I72">
            <v>20</v>
          </cell>
          <cell r="J72">
            <v>25</v>
          </cell>
          <cell r="K72">
            <v>20</v>
          </cell>
          <cell r="L72">
            <v>10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A73" t="str">
            <v>8|7</v>
          </cell>
          <cell r="B73" t="str">
            <v>7</v>
          </cell>
          <cell r="C73" t="str">
            <v>SINALIZAÇÃO DE TRÂNSITO</v>
          </cell>
          <cell r="D73">
            <v>5</v>
          </cell>
          <cell r="E73">
            <v>0</v>
          </cell>
          <cell r="F73">
            <v>0</v>
          </cell>
          <cell r="G73">
            <v>5</v>
          </cell>
          <cell r="H73">
            <v>15</v>
          </cell>
          <cell r="I73">
            <v>20</v>
          </cell>
          <cell r="J73">
            <v>25</v>
          </cell>
          <cell r="K73">
            <v>25</v>
          </cell>
          <cell r="L73">
            <v>10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</row>
        <row r="74">
          <cell r="A74" t="str">
            <v>8|8</v>
          </cell>
          <cell r="B74" t="str">
            <v>8</v>
          </cell>
          <cell r="C74" t="str">
            <v>ILUMINAÇÃO PÚBLICA</v>
          </cell>
          <cell r="D74">
            <v>6</v>
          </cell>
          <cell r="E74">
            <v>0</v>
          </cell>
          <cell r="F74">
            <v>0</v>
          </cell>
          <cell r="G74">
            <v>0</v>
          </cell>
          <cell r="H74">
            <v>20</v>
          </cell>
          <cell r="I74">
            <v>20</v>
          </cell>
          <cell r="J74">
            <v>30</v>
          </cell>
          <cell r="K74">
            <v>20</v>
          </cell>
          <cell r="L74">
            <v>10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</row>
        <row r="75">
          <cell r="A75" t="str">
            <v>8|9</v>
          </cell>
          <cell r="B75" t="str">
            <v>9</v>
          </cell>
          <cell r="C75" t="str">
            <v>SERVIÇOS DIVERSOS</v>
          </cell>
          <cell r="D75">
            <v>6</v>
          </cell>
          <cell r="E75">
            <v>5</v>
          </cell>
          <cell r="F75">
            <v>5</v>
          </cell>
          <cell r="G75">
            <v>10</v>
          </cell>
          <cell r="H75">
            <v>15</v>
          </cell>
          <cell r="I75">
            <v>20</v>
          </cell>
          <cell r="J75">
            <v>20</v>
          </cell>
          <cell r="K75">
            <v>15</v>
          </cell>
          <cell r="L75">
            <v>10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</row>
        <row r="76">
          <cell r="A76" t="str">
            <v>8|10</v>
          </cell>
          <cell r="B76" t="str">
            <v>10</v>
          </cell>
          <cell r="C76" t="str">
            <v>DRENAGEM</v>
          </cell>
          <cell r="D76">
            <v>0</v>
          </cell>
          <cell r="E76">
            <v>15</v>
          </cell>
          <cell r="F76">
            <v>20</v>
          </cell>
          <cell r="G76">
            <v>20</v>
          </cell>
          <cell r="H76">
            <v>20</v>
          </cell>
          <cell r="I76">
            <v>15</v>
          </cell>
          <cell r="J76">
            <v>10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</row>
        <row r="77">
          <cell r="A77" t="str">
            <v>8|11</v>
          </cell>
          <cell r="B77" t="str">
            <v>11</v>
          </cell>
          <cell r="C77" t="str">
            <v>ENSAIOS TECNOLÓGICOS</v>
          </cell>
          <cell r="D77">
            <v>0</v>
          </cell>
          <cell r="E77">
            <v>2</v>
          </cell>
          <cell r="F77">
            <v>2</v>
          </cell>
          <cell r="G77">
            <v>13</v>
          </cell>
          <cell r="H77">
            <v>15</v>
          </cell>
          <cell r="I77">
            <v>15</v>
          </cell>
          <cell r="J77">
            <v>22</v>
          </cell>
          <cell r="K77">
            <v>23</v>
          </cell>
          <cell r="L77">
            <v>8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</row>
        <row r="79">
          <cell r="A79" t="str">
            <v>N</v>
          </cell>
          <cell r="B79">
            <v>9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</row>
        <row r="80">
          <cell r="A80" t="str">
            <v>9|1</v>
          </cell>
          <cell r="B80">
            <v>1</v>
          </cell>
          <cell r="C80" t="str">
            <v>SERVIÇOS PRELIMINARES</v>
          </cell>
          <cell r="D80">
            <v>1</v>
          </cell>
          <cell r="E80">
            <v>15</v>
          </cell>
          <cell r="F80">
            <v>15</v>
          </cell>
          <cell r="G80">
            <v>20</v>
          </cell>
          <cell r="H80">
            <v>20</v>
          </cell>
          <cell r="I80">
            <v>20</v>
          </cell>
          <cell r="J80">
            <v>10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</row>
        <row r="81">
          <cell r="A81" t="str">
            <v>9|2</v>
          </cell>
          <cell r="B81" t="str">
            <v>2</v>
          </cell>
          <cell r="C81" t="str">
            <v>TERRAPLENAGEM</v>
          </cell>
          <cell r="D81">
            <v>2</v>
          </cell>
          <cell r="E81">
            <v>10</v>
          </cell>
          <cell r="F81">
            <v>15</v>
          </cell>
          <cell r="G81">
            <v>20</v>
          </cell>
          <cell r="H81">
            <v>20</v>
          </cell>
          <cell r="I81">
            <v>15</v>
          </cell>
          <cell r="J81">
            <v>15</v>
          </cell>
          <cell r="K81">
            <v>5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</row>
        <row r="82">
          <cell r="A82" t="str">
            <v>9|3</v>
          </cell>
          <cell r="B82" t="str">
            <v>3</v>
          </cell>
          <cell r="C82" t="str">
            <v>BASE / SUB-BASE</v>
          </cell>
          <cell r="D82">
            <v>3</v>
          </cell>
          <cell r="E82">
            <v>5</v>
          </cell>
          <cell r="F82">
            <v>10</v>
          </cell>
          <cell r="G82">
            <v>15</v>
          </cell>
          <cell r="H82">
            <v>20</v>
          </cell>
          <cell r="I82">
            <v>20</v>
          </cell>
          <cell r="J82">
            <v>10</v>
          </cell>
          <cell r="K82">
            <v>10</v>
          </cell>
          <cell r="L82">
            <v>10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</row>
        <row r="83">
          <cell r="A83" t="str">
            <v>9|4</v>
          </cell>
          <cell r="B83" t="str">
            <v>4</v>
          </cell>
          <cell r="C83" t="str">
            <v>REVESTIMENTO</v>
          </cell>
          <cell r="D83">
            <v>4</v>
          </cell>
          <cell r="E83">
            <v>0</v>
          </cell>
          <cell r="F83">
            <v>0</v>
          </cell>
          <cell r="G83">
            <v>5</v>
          </cell>
          <cell r="H83">
            <v>15</v>
          </cell>
          <cell r="I83">
            <v>20</v>
          </cell>
          <cell r="J83">
            <v>20</v>
          </cell>
          <cell r="K83">
            <v>20</v>
          </cell>
          <cell r="L83">
            <v>15</v>
          </cell>
          <cell r="M83">
            <v>5</v>
          </cell>
          <cell r="N83">
            <v>0</v>
          </cell>
          <cell r="O83">
            <v>0</v>
          </cell>
          <cell r="P83">
            <v>0</v>
          </cell>
        </row>
        <row r="84">
          <cell r="A84" t="str">
            <v>9|5</v>
          </cell>
          <cell r="B84" t="str">
            <v>5</v>
          </cell>
          <cell r="C84" t="str">
            <v>MEIO-FIO E SARJETA</v>
          </cell>
          <cell r="D84">
            <v>5</v>
          </cell>
          <cell r="E84">
            <v>0</v>
          </cell>
          <cell r="F84">
            <v>5</v>
          </cell>
          <cell r="G84">
            <v>10</v>
          </cell>
          <cell r="H84">
            <v>15</v>
          </cell>
          <cell r="I84">
            <v>20</v>
          </cell>
          <cell r="J84">
            <v>20</v>
          </cell>
          <cell r="K84">
            <v>20</v>
          </cell>
          <cell r="L84">
            <v>10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</row>
        <row r="85">
          <cell r="A85" t="str">
            <v>9|6</v>
          </cell>
          <cell r="B85" t="str">
            <v>6</v>
          </cell>
          <cell r="C85" t="str">
            <v>PAISAGISMO / URBANISMO</v>
          </cell>
          <cell r="D85">
            <v>3</v>
          </cell>
          <cell r="E85">
            <v>0</v>
          </cell>
          <cell r="F85">
            <v>0</v>
          </cell>
          <cell r="G85">
            <v>5</v>
          </cell>
          <cell r="H85">
            <v>10</v>
          </cell>
          <cell r="I85">
            <v>20</v>
          </cell>
          <cell r="J85">
            <v>20</v>
          </cell>
          <cell r="K85">
            <v>20</v>
          </cell>
          <cell r="L85">
            <v>15</v>
          </cell>
          <cell r="M85">
            <v>10</v>
          </cell>
          <cell r="N85">
            <v>0</v>
          </cell>
          <cell r="O85">
            <v>0</v>
          </cell>
          <cell r="P85">
            <v>0</v>
          </cell>
        </row>
        <row r="86">
          <cell r="A86" t="str">
            <v>9|7</v>
          </cell>
          <cell r="B86" t="str">
            <v>7</v>
          </cell>
          <cell r="C86" t="str">
            <v>SINALIZAÇÃO DE TRÂNSITO</v>
          </cell>
          <cell r="D86">
            <v>5</v>
          </cell>
          <cell r="E86">
            <v>0</v>
          </cell>
          <cell r="F86">
            <v>0</v>
          </cell>
          <cell r="G86">
            <v>0</v>
          </cell>
          <cell r="H86">
            <v>15</v>
          </cell>
          <cell r="I86">
            <v>15</v>
          </cell>
          <cell r="J86">
            <v>15</v>
          </cell>
          <cell r="K86">
            <v>20</v>
          </cell>
          <cell r="L86">
            <v>20</v>
          </cell>
          <cell r="M86">
            <v>15</v>
          </cell>
          <cell r="N86">
            <v>0</v>
          </cell>
          <cell r="O86">
            <v>0</v>
          </cell>
          <cell r="P86">
            <v>0</v>
          </cell>
        </row>
        <row r="87">
          <cell r="A87" t="str">
            <v>9|8</v>
          </cell>
          <cell r="B87" t="str">
            <v>8</v>
          </cell>
          <cell r="C87" t="str">
            <v>ILUMINAÇÃO PÚBLICA</v>
          </cell>
          <cell r="D87">
            <v>6</v>
          </cell>
          <cell r="E87">
            <v>0</v>
          </cell>
          <cell r="F87">
            <v>0</v>
          </cell>
          <cell r="G87">
            <v>0</v>
          </cell>
          <cell r="H87">
            <v>10</v>
          </cell>
          <cell r="I87">
            <v>20</v>
          </cell>
          <cell r="J87">
            <v>30</v>
          </cell>
          <cell r="K87">
            <v>20</v>
          </cell>
          <cell r="L87">
            <v>10</v>
          </cell>
          <cell r="M87">
            <v>10</v>
          </cell>
          <cell r="N87">
            <v>0</v>
          </cell>
          <cell r="O87">
            <v>0</v>
          </cell>
          <cell r="P87">
            <v>0</v>
          </cell>
        </row>
        <row r="88">
          <cell r="A88" t="str">
            <v>9|9</v>
          </cell>
          <cell r="B88" t="str">
            <v>9</v>
          </cell>
          <cell r="C88" t="str">
            <v>SERVIÇOS DIVERSOS</v>
          </cell>
          <cell r="D88">
            <v>6</v>
          </cell>
          <cell r="E88">
            <v>5</v>
          </cell>
          <cell r="F88">
            <v>5</v>
          </cell>
          <cell r="G88">
            <v>10</v>
          </cell>
          <cell r="H88">
            <v>15</v>
          </cell>
          <cell r="I88">
            <v>20</v>
          </cell>
          <cell r="J88">
            <v>15</v>
          </cell>
          <cell r="K88">
            <v>15</v>
          </cell>
          <cell r="L88">
            <v>15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A89" t="str">
            <v>9|10</v>
          </cell>
          <cell r="B89" t="str">
            <v>10</v>
          </cell>
          <cell r="C89" t="str">
            <v>DRENAGEM</v>
          </cell>
          <cell r="D89">
            <v>0</v>
          </cell>
          <cell r="E89">
            <v>10</v>
          </cell>
          <cell r="F89">
            <v>15</v>
          </cell>
          <cell r="G89">
            <v>20</v>
          </cell>
          <cell r="H89">
            <v>20</v>
          </cell>
          <cell r="I89">
            <v>20</v>
          </cell>
          <cell r="J89">
            <v>10</v>
          </cell>
          <cell r="K89">
            <v>5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A90" t="str">
            <v>9|11</v>
          </cell>
          <cell r="B90" t="str">
            <v>11</v>
          </cell>
          <cell r="C90" t="str">
            <v>ENSAIOS TECNOLÓGICOS</v>
          </cell>
          <cell r="D90">
            <v>0</v>
          </cell>
          <cell r="E90">
            <v>3</v>
          </cell>
          <cell r="F90">
            <v>5</v>
          </cell>
          <cell r="G90">
            <v>11</v>
          </cell>
          <cell r="H90">
            <v>15</v>
          </cell>
          <cell r="I90">
            <v>20</v>
          </cell>
          <cell r="J90">
            <v>16</v>
          </cell>
          <cell r="K90">
            <v>14</v>
          </cell>
          <cell r="L90">
            <v>10</v>
          </cell>
          <cell r="M90">
            <v>6</v>
          </cell>
          <cell r="N90">
            <v>0</v>
          </cell>
          <cell r="O90">
            <v>0</v>
          </cell>
          <cell r="P90">
            <v>0</v>
          </cell>
        </row>
        <row r="92">
          <cell r="A92" t="str">
            <v>N</v>
          </cell>
          <cell r="B92">
            <v>10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</row>
        <row r="93">
          <cell r="A93" t="str">
            <v>10|1</v>
          </cell>
          <cell r="B93">
            <v>1</v>
          </cell>
          <cell r="C93" t="str">
            <v>SERVIÇOS PRELIMINARES</v>
          </cell>
          <cell r="D93">
            <v>1</v>
          </cell>
          <cell r="E93">
            <v>20</v>
          </cell>
          <cell r="F93">
            <v>20</v>
          </cell>
          <cell r="G93">
            <v>20</v>
          </cell>
          <cell r="H93">
            <v>10</v>
          </cell>
          <cell r="I93">
            <v>10</v>
          </cell>
          <cell r="J93">
            <v>10</v>
          </cell>
          <cell r="K93">
            <v>10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A94" t="str">
            <v>10|2</v>
          </cell>
          <cell r="B94" t="str">
            <v>2</v>
          </cell>
          <cell r="C94" t="str">
            <v>TERRAPLENAGEM</v>
          </cell>
          <cell r="D94">
            <v>2</v>
          </cell>
          <cell r="E94">
            <v>5</v>
          </cell>
          <cell r="F94">
            <v>10</v>
          </cell>
          <cell r="G94">
            <v>15</v>
          </cell>
          <cell r="H94">
            <v>20</v>
          </cell>
          <cell r="I94">
            <v>20</v>
          </cell>
          <cell r="J94">
            <v>15</v>
          </cell>
          <cell r="K94">
            <v>10</v>
          </cell>
          <cell r="L94">
            <v>5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</row>
        <row r="95">
          <cell r="A95" t="str">
            <v>10|3</v>
          </cell>
          <cell r="B95" t="str">
            <v>3</v>
          </cell>
          <cell r="C95" t="str">
            <v>BASE / SUB-BASE</v>
          </cell>
          <cell r="D95">
            <v>3</v>
          </cell>
          <cell r="E95">
            <v>0</v>
          </cell>
          <cell r="F95">
            <v>5</v>
          </cell>
          <cell r="G95">
            <v>10</v>
          </cell>
          <cell r="H95">
            <v>15</v>
          </cell>
          <cell r="I95">
            <v>15</v>
          </cell>
          <cell r="J95">
            <v>15</v>
          </cell>
          <cell r="K95">
            <v>15</v>
          </cell>
          <cell r="L95">
            <v>15</v>
          </cell>
          <cell r="M95">
            <v>10</v>
          </cell>
          <cell r="N95">
            <v>0</v>
          </cell>
          <cell r="O95">
            <v>0</v>
          </cell>
          <cell r="P95">
            <v>0</v>
          </cell>
        </row>
        <row r="96">
          <cell r="A96" t="str">
            <v>10|4</v>
          </cell>
          <cell r="B96" t="str">
            <v>4</v>
          </cell>
          <cell r="C96" t="str">
            <v>REVESTIMENTO</v>
          </cell>
          <cell r="D96">
            <v>4</v>
          </cell>
          <cell r="E96">
            <v>0</v>
          </cell>
          <cell r="F96">
            <v>0</v>
          </cell>
          <cell r="G96">
            <v>5</v>
          </cell>
          <cell r="H96">
            <v>5</v>
          </cell>
          <cell r="I96">
            <v>15</v>
          </cell>
          <cell r="J96">
            <v>20</v>
          </cell>
          <cell r="K96">
            <v>20</v>
          </cell>
          <cell r="L96">
            <v>15</v>
          </cell>
          <cell r="M96">
            <v>10</v>
          </cell>
          <cell r="N96">
            <v>10</v>
          </cell>
          <cell r="O96">
            <v>0</v>
          </cell>
          <cell r="P96">
            <v>0</v>
          </cell>
        </row>
        <row r="97">
          <cell r="A97" t="str">
            <v>10|5</v>
          </cell>
          <cell r="B97" t="str">
            <v>5</v>
          </cell>
          <cell r="C97" t="str">
            <v>MEIO-FIO E SARJETA</v>
          </cell>
          <cell r="D97">
            <v>5</v>
          </cell>
          <cell r="E97">
            <v>0</v>
          </cell>
          <cell r="F97">
            <v>0</v>
          </cell>
          <cell r="G97">
            <v>10</v>
          </cell>
          <cell r="H97">
            <v>10</v>
          </cell>
          <cell r="I97">
            <v>10</v>
          </cell>
          <cell r="J97">
            <v>20</v>
          </cell>
          <cell r="K97">
            <v>20</v>
          </cell>
          <cell r="L97">
            <v>20</v>
          </cell>
          <cell r="M97">
            <v>10</v>
          </cell>
          <cell r="N97">
            <v>0</v>
          </cell>
          <cell r="O97">
            <v>0</v>
          </cell>
          <cell r="P97">
            <v>0</v>
          </cell>
        </row>
        <row r="98">
          <cell r="A98" t="str">
            <v>10|6</v>
          </cell>
          <cell r="B98" t="str">
            <v>6</v>
          </cell>
          <cell r="C98" t="str">
            <v>PAISAGISMO / URBANISMO</v>
          </cell>
          <cell r="D98">
            <v>3</v>
          </cell>
          <cell r="E98">
            <v>0</v>
          </cell>
          <cell r="F98">
            <v>0</v>
          </cell>
          <cell r="G98">
            <v>0</v>
          </cell>
          <cell r="H98">
            <v>5</v>
          </cell>
          <cell r="I98">
            <v>10</v>
          </cell>
          <cell r="J98">
            <v>15</v>
          </cell>
          <cell r="K98">
            <v>20</v>
          </cell>
          <cell r="L98">
            <v>20</v>
          </cell>
          <cell r="M98">
            <v>15</v>
          </cell>
          <cell r="N98">
            <v>15</v>
          </cell>
          <cell r="O98">
            <v>0</v>
          </cell>
          <cell r="P98">
            <v>0</v>
          </cell>
        </row>
        <row r="99">
          <cell r="A99" t="str">
            <v>10|7</v>
          </cell>
          <cell r="B99" t="str">
            <v>7</v>
          </cell>
          <cell r="C99" t="str">
            <v>SINALIZAÇÃO DE TRÂNSITO</v>
          </cell>
          <cell r="D99">
            <v>5</v>
          </cell>
          <cell r="E99">
            <v>0</v>
          </cell>
          <cell r="F99">
            <v>0</v>
          </cell>
          <cell r="G99">
            <v>0</v>
          </cell>
          <cell r="H99">
            <v>15</v>
          </cell>
          <cell r="I99">
            <v>15</v>
          </cell>
          <cell r="J99">
            <v>15</v>
          </cell>
          <cell r="K99">
            <v>20</v>
          </cell>
          <cell r="L99">
            <v>15</v>
          </cell>
          <cell r="M99">
            <v>10</v>
          </cell>
          <cell r="N99">
            <v>10</v>
          </cell>
          <cell r="O99">
            <v>0</v>
          </cell>
          <cell r="P99">
            <v>0</v>
          </cell>
        </row>
        <row r="100">
          <cell r="A100" t="str">
            <v>10|8</v>
          </cell>
          <cell r="B100" t="str">
            <v>8</v>
          </cell>
          <cell r="C100" t="str">
            <v>ILUMINAÇÃO PÚBLICA</v>
          </cell>
          <cell r="D100">
            <v>6</v>
          </cell>
          <cell r="E100">
            <v>0</v>
          </cell>
          <cell r="F100">
            <v>0</v>
          </cell>
          <cell r="G100">
            <v>0</v>
          </cell>
          <cell r="H100">
            <v>10</v>
          </cell>
          <cell r="I100">
            <v>20</v>
          </cell>
          <cell r="J100">
            <v>20</v>
          </cell>
          <cell r="K100">
            <v>20</v>
          </cell>
          <cell r="L100">
            <v>10</v>
          </cell>
          <cell r="M100">
            <v>10</v>
          </cell>
          <cell r="N100">
            <v>10</v>
          </cell>
          <cell r="O100">
            <v>0</v>
          </cell>
          <cell r="P100">
            <v>0</v>
          </cell>
        </row>
        <row r="101">
          <cell r="A101" t="str">
            <v>10|9</v>
          </cell>
          <cell r="B101" t="str">
            <v>9</v>
          </cell>
          <cell r="C101" t="str">
            <v>SERVIÇOS DIVERSOS</v>
          </cell>
          <cell r="D101">
            <v>6</v>
          </cell>
          <cell r="E101">
            <v>5</v>
          </cell>
          <cell r="F101">
            <v>5</v>
          </cell>
          <cell r="G101">
            <v>10</v>
          </cell>
          <cell r="H101">
            <v>10</v>
          </cell>
          <cell r="I101">
            <v>10</v>
          </cell>
          <cell r="J101">
            <v>15</v>
          </cell>
          <cell r="K101">
            <v>15</v>
          </cell>
          <cell r="L101">
            <v>10</v>
          </cell>
          <cell r="M101">
            <v>10</v>
          </cell>
          <cell r="N101">
            <v>10</v>
          </cell>
          <cell r="O101">
            <v>0</v>
          </cell>
          <cell r="P101">
            <v>0</v>
          </cell>
        </row>
        <row r="102">
          <cell r="A102" t="str">
            <v>10|10</v>
          </cell>
          <cell r="B102" t="str">
            <v>10</v>
          </cell>
          <cell r="C102" t="str">
            <v>DRENAGEM</v>
          </cell>
          <cell r="D102">
            <v>0</v>
          </cell>
          <cell r="E102">
            <v>10</v>
          </cell>
          <cell r="F102">
            <v>15</v>
          </cell>
          <cell r="G102">
            <v>15</v>
          </cell>
          <cell r="H102">
            <v>15</v>
          </cell>
          <cell r="I102">
            <v>15</v>
          </cell>
          <cell r="J102">
            <v>15</v>
          </cell>
          <cell r="K102">
            <v>10</v>
          </cell>
          <cell r="L102">
            <v>5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</row>
        <row r="103">
          <cell r="A103" t="str">
            <v>10|11</v>
          </cell>
          <cell r="B103" t="str">
            <v>11</v>
          </cell>
          <cell r="C103" t="str">
            <v>ENSAIOS TECNOLÓGICOS</v>
          </cell>
          <cell r="D103">
            <v>0</v>
          </cell>
          <cell r="E103">
            <v>2</v>
          </cell>
          <cell r="F103">
            <v>2</v>
          </cell>
          <cell r="G103">
            <v>14</v>
          </cell>
          <cell r="H103">
            <v>14</v>
          </cell>
          <cell r="I103">
            <v>15</v>
          </cell>
          <cell r="J103">
            <v>15</v>
          </cell>
          <cell r="K103">
            <v>15</v>
          </cell>
          <cell r="L103">
            <v>15</v>
          </cell>
          <cell r="M103">
            <v>5</v>
          </cell>
          <cell r="N103">
            <v>3</v>
          </cell>
          <cell r="O103">
            <v>0</v>
          </cell>
          <cell r="P103">
            <v>0</v>
          </cell>
        </row>
        <row r="105">
          <cell r="A105" t="str">
            <v>N</v>
          </cell>
          <cell r="B105">
            <v>11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A106" t="str">
            <v>11|1</v>
          </cell>
          <cell r="B106">
            <v>1</v>
          </cell>
          <cell r="C106" t="str">
            <v>SERVIÇOS PRELIMINARES</v>
          </cell>
          <cell r="D106">
            <v>1</v>
          </cell>
          <cell r="E106">
            <v>10</v>
          </cell>
          <cell r="F106">
            <v>20</v>
          </cell>
          <cell r="G106">
            <v>20</v>
          </cell>
          <cell r="H106">
            <v>20</v>
          </cell>
          <cell r="I106">
            <v>10</v>
          </cell>
          <cell r="J106">
            <v>10</v>
          </cell>
          <cell r="K106">
            <v>10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</row>
        <row r="107">
          <cell r="A107" t="str">
            <v>11|2</v>
          </cell>
          <cell r="B107" t="str">
            <v>2</v>
          </cell>
          <cell r="C107" t="str">
            <v>TERRAPLENAGEM</v>
          </cell>
          <cell r="D107">
            <v>2</v>
          </cell>
          <cell r="E107">
            <v>5</v>
          </cell>
          <cell r="F107">
            <v>10</v>
          </cell>
          <cell r="G107">
            <v>10</v>
          </cell>
          <cell r="H107">
            <v>15</v>
          </cell>
          <cell r="I107">
            <v>15</v>
          </cell>
          <cell r="J107">
            <v>15</v>
          </cell>
          <cell r="K107">
            <v>15</v>
          </cell>
          <cell r="L107">
            <v>10</v>
          </cell>
          <cell r="M107">
            <v>5</v>
          </cell>
          <cell r="N107">
            <v>0</v>
          </cell>
          <cell r="O107">
            <v>0</v>
          </cell>
          <cell r="P107">
            <v>0</v>
          </cell>
        </row>
        <row r="108">
          <cell r="A108" t="str">
            <v>11|3</v>
          </cell>
          <cell r="B108" t="str">
            <v>3</v>
          </cell>
          <cell r="C108" t="str">
            <v>BASE / SUB-BASE</v>
          </cell>
          <cell r="D108">
            <v>3</v>
          </cell>
          <cell r="E108">
            <v>0</v>
          </cell>
          <cell r="F108">
            <v>5</v>
          </cell>
          <cell r="G108">
            <v>10</v>
          </cell>
          <cell r="H108">
            <v>10</v>
          </cell>
          <cell r="I108">
            <v>15</v>
          </cell>
          <cell r="J108">
            <v>15</v>
          </cell>
          <cell r="K108">
            <v>15</v>
          </cell>
          <cell r="L108">
            <v>10</v>
          </cell>
          <cell r="M108">
            <v>10</v>
          </cell>
          <cell r="N108">
            <v>10</v>
          </cell>
          <cell r="O108">
            <v>0</v>
          </cell>
          <cell r="P108">
            <v>0</v>
          </cell>
        </row>
        <row r="109">
          <cell r="A109" t="str">
            <v>11|4</v>
          </cell>
          <cell r="B109" t="str">
            <v>4</v>
          </cell>
          <cell r="C109" t="str">
            <v>REVESTIMENTO</v>
          </cell>
          <cell r="D109">
            <v>4</v>
          </cell>
          <cell r="E109">
            <v>0</v>
          </cell>
          <cell r="F109">
            <v>0</v>
          </cell>
          <cell r="G109">
            <v>5</v>
          </cell>
          <cell r="H109">
            <v>10</v>
          </cell>
          <cell r="I109">
            <v>10</v>
          </cell>
          <cell r="J109">
            <v>15</v>
          </cell>
          <cell r="K109">
            <v>15</v>
          </cell>
          <cell r="L109">
            <v>15</v>
          </cell>
          <cell r="M109">
            <v>10</v>
          </cell>
          <cell r="N109">
            <v>10</v>
          </cell>
          <cell r="O109">
            <v>10</v>
          </cell>
          <cell r="P109">
            <v>0</v>
          </cell>
        </row>
        <row r="110">
          <cell r="A110" t="str">
            <v>11|5</v>
          </cell>
          <cell r="B110" t="str">
            <v>5</v>
          </cell>
          <cell r="C110" t="str">
            <v>MEIO-FIO E SARJETA</v>
          </cell>
          <cell r="D110">
            <v>5</v>
          </cell>
          <cell r="E110">
            <v>0</v>
          </cell>
          <cell r="F110">
            <v>0</v>
          </cell>
          <cell r="G110">
            <v>10</v>
          </cell>
          <cell r="H110">
            <v>10</v>
          </cell>
          <cell r="I110">
            <v>10</v>
          </cell>
          <cell r="J110">
            <v>15</v>
          </cell>
          <cell r="K110">
            <v>15</v>
          </cell>
          <cell r="L110">
            <v>15</v>
          </cell>
          <cell r="M110">
            <v>15</v>
          </cell>
          <cell r="N110">
            <v>10</v>
          </cell>
          <cell r="O110">
            <v>0</v>
          </cell>
          <cell r="P110">
            <v>0</v>
          </cell>
        </row>
        <row r="111">
          <cell r="A111" t="str">
            <v>11|6</v>
          </cell>
          <cell r="B111" t="str">
            <v>6</v>
          </cell>
          <cell r="C111" t="str">
            <v>PAISAGISMO / URBANISMO</v>
          </cell>
          <cell r="D111">
            <v>3</v>
          </cell>
          <cell r="E111">
            <v>0</v>
          </cell>
          <cell r="F111">
            <v>0</v>
          </cell>
          <cell r="G111">
            <v>0</v>
          </cell>
          <cell r="H111">
            <v>5</v>
          </cell>
          <cell r="I111">
            <v>10</v>
          </cell>
          <cell r="J111">
            <v>15</v>
          </cell>
          <cell r="K111">
            <v>15</v>
          </cell>
          <cell r="L111">
            <v>15</v>
          </cell>
          <cell r="M111">
            <v>15</v>
          </cell>
          <cell r="N111">
            <v>15</v>
          </cell>
          <cell r="O111">
            <v>10</v>
          </cell>
          <cell r="P111">
            <v>0</v>
          </cell>
        </row>
        <row r="112">
          <cell r="A112" t="str">
            <v>11|7</v>
          </cell>
          <cell r="B112" t="str">
            <v>7</v>
          </cell>
          <cell r="C112" t="str">
            <v>SINALIZAÇÃO DE TRÂNSITO</v>
          </cell>
          <cell r="D112">
            <v>5</v>
          </cell>
          <cell r="E112">
            <v>0</v>
          </cell>
          <cell r="F112">
            <v>0</v>
          </cell>
          <cell r="G112">
            <v>0</v>
          </cell>
          <cell r="H112">
            <v>10</v>
          </cell>
          <cell r="I112">
            <v>10</v>
          </cell>
          <cell r="J112">
            <v>15</v>
          </cell>
          <cell r="K112">
            <v>20</v>
          </cell>
          <cell r="L112">
            <v>15</v>
          </cell>
          <cell r="M112">
            <v>10</v>
          </cell>
          <cell r="N112">
            <v>10</v>
          </cell>
          <cell r="O112">
            <v>10</v>
          </cell>
          <cell r="P112">
            <v>0</v>
          </cell>
        </row>
        <row r="113">
          <cell r="A113" t="str">
            <v>11|8</v>
          </cell>
          <cell r="B113" t="str">
            <v>8</v>
          </cell>
          <cell r="C113" t="str">
            <v>ILUMINAÇÃO PÚBLICA</v>
          </cell>
          <cell r="D113">
            <v>6</v>
          </cell>
          <cell r="E113">
            <v>0</v>
          </cell>
          <cell r="F113">
            <v>0</v>
          </cell>
          <cell r="G113">
            <v>0</v>
          </cell>
          <cell r="H113">
            <v>10</v>
          </cell>
          <cell r="I113">
            <v>10</v>
          </cell>
          <cell r="J113">
            <v>20</v>
          </cell>
          <cell r="K113">
            <v>20</v>
          </cell>
          <cell r="L113">
            <v>10</v>
          </cell>
          <cell r="M113">
            <v>10</v>
          </cell>
          <cell r="N113">
            <v>10</v>
          </cell>
          <cell r="O113">
            <v>10</v>
          </cell>
          <cell r="P113">
            <v>0</v>
          </cell>
        </row>
        <row r="114">
          <cell r="A114" t="str">
            <v>11|9</v>
          </cell>
          <cell r="B114" t="str">
            <v>9</v>
          </cell>
          <cell r="C114" t="str">
            <v>SERVIÇOS DIVERSOS</v>
          </cell>
          <cell r="D114">
            <v>6</v>
          </cell>
          <cell r="E114">
            <v>5</v>
          </cell>
          <cell r="F114">
            <v>5</v>
          </cell>
          <cell r="G114">
            <v>10</v>
          </cell>
          <cell r="H114">
            <v>10</v>
          </cell>
          <cell r="I114">
            <v>10</v>
          </cell>
          <cell r="J114">
            <v>10</v>
          </cell>
          <cell r="K114">
            <v>10</v>
          </cell>
          <cell r="L114">
            <v>10</v>
          </cell>
          <cell r="M114">
            <v>10</v>
          </cell>
          <cell r="N114">
            <v>10</v>
          </cell>
          <cell r="O114">
            <v>10</v>
          </cell>
          <cell r="P114">
            <v>0</v>
          </cell>
        </row>
        <row r="115">
          <cell r="A115" t="str">
            <v>11|10</v>
          </cell>
          <cell r="B115" t="str">
            <v>10</v>
          </cell>
          <cell r="C115" t="str">
            <v>DRENAGEM</v>
          </cell>
          <cell r="D115">
            <v>0</v>
          </cell>
          <cell r="E115">
            <v>10</v>
          </cell>
          <cell r="F115">
            <v>10</v>
          </cell>
          <cell r="G115">
            <v>15</v>
          </cell>
          <cell r="H115">
            <v>15</v>
          </cell>
          <cell r="I115">
            <v>15</v>
          </cell>
          <cell r="J115">
            <v>10</v>
          </cell>
          <cell r="K115">
            <v>10</v>
          </cell>
          <cell r="L115">
            <v>10</v>
          </cell>
          <cell r="M115">
            <v>5</v>
          </cell>
          <cell r="N115">
            <v>0</v>
          </cell>
          <cell r="O115">
            <v>0</v>
          </cell>
          <cell r="P115">
            <v>0</v>
          </cell>
        </row>
        <row r="116">
          <cell r="A116" t="str">
            <v>11|11</v>
          </cell>
          <cell r="B116" t="str">
            <v>11</v>
          </cell>
          <cell r="C116" t="str">
            <v>ENSAIOS TECNOLÓGICOS</v>
          </cell>
          <cell r="D116">
            <v>0</v>
          </cell>
          <cell r="E116">
            <v>1</v>
          </cell>
          <cell r="F116">
            <v>1</v>
          </cell>
          <cell r="G116">
            <v>10</v>
          </cell>
          <cell r="H116">
            <v>15</v>
          </cell>
          <cell r="I116">
            <v>15</v>
          </cell>
          <cell r="J116">
            <v>15</v>
          </cell>
          <cell r="K116">
            <v>15</v>
          </cell>
          <cell r="L116">
            <v>15</v>
          </cell>
          <cell r="M116">
            <v>5</v>
          </cell>
          <cell r="N116">
            <v>3</v>
          </cell>
          <cell r="O116">
            <v>5</v>
          </cell>
          <cell r="P116">
            <v>0</v>
          </cell>
        </row>
        <row r="118">
          <cell r="A118" t="str">
            <v>N</v>
          </cell>
          <cell r="B118">
            <v>12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A119" t="str">
            <v>12|1</v>
          </cell>
          <cell r="B119">
            <v>1</v>
          </cell>
          <cell r="C119" t="str">
            <v>SERVIÇOS PRELIMINARES</v>
          </cell>
          <cell r="D119">
            <v>1</v>
          </cell>
          <cell r="E119">
            <v>10</v>
          </cell>
          <cell r="F119">
            <v>20</v>
          </cell>
          <cell r="G119">
            <v>20</v>
          </cell>
          <cell r="H119">
            <v>20</v>
          </cell>
          <cell r="I119">
            <v>10</v>
          </cell>
          <cell r="J119">
            <v>10</v>
          </cell>
          <cell r="K119">
            <v>10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</row>
        <row r="120">
          <cell r="A120" t="str">
            <v>12|2</v>
          </cell>
          <cell r="B120" t="str">
            <v>2</v>
          </cell>
          <cell r="C120" t="str">
            <v>TERRAPLENAGEM</v>
          </cell>
          <cell r="D120">
            <v>2</v>
          </cell>
          <cell r="E120">
            <v>5</v>
          </cell>
          <cell r="F120">
            <v>10</v>
          </cell>
          <cell r="G120">
            <v>10</v>
          </cell>
          <cell r="H120">
            <v>15</v>
          </cell>
          <cell r="I120">
            <v>15</v>
          </cell>
          <cell r="J120">
            <v>15</v>
          </cell>
          <cell r="K120">
            <v>10</v>
          </cell>
          <cell r="L120">
            <v>10</v>
          </cell>
          <cell r="M120">
            <v>10</v>
          </cell>
          <cell r="N120">
            <v>0</v>
          </cell>
          <cell r="O120">
            <v>0</v>
          </cell>
          <cell r="P120">
            <v>0</v>
          </cell>
        </row>
        <row r="121">
          <cell r="A121" t="str">
            <v>12|3</v>
          </cell>
          <cell r="B121" t="str">
            <v>3</v>
          </cell>
          <cell r="C121" t="str">
            <v>BASE / SUB-BASE</v>
          </cell>
          <cell r="D121">
            <v>3</v>
          </cell>
          <cell r="E121">
            <v>0</v>
          </cell>
          <cell r="F121">
            <v>5</v>
          </cell>
          <cell r="G121">
            <v>10</v>
          </cell>
          <cell r="H121">
            <v>10</v>
          </cell>
          <cell r="I121">
            <v>10</v>
          </cell>
          <cell r="J121">
            <v>15</v>
          </cell>
          <cell r="K121">
            <v>15</v>
          </cell>
          <cell r="L121">
            <v>10</v>
          </cell>
          <cell r="M121">
            <v>10</v>
          </cell>
          <cell r="N121">
            <v>10</v>
          </cell>
          <cell r="O121">
            <v>5</v>
          </cell>
          <cell r="P121">
            <v>0</v>
          </cell>
        </row>
        <row r="122">
          <cell r="A122" t="str">
            <v>12|4</v>
          </cell>
          <cell r="B122" t="str">
            <v>4</v>
          </cell>
          <cell r="C122" t="str">
            <v>REVESTIMENTO</v>
          </cell>
          <cell r="D122">
            <v>4</v>
          </cell>
          <cell r="E122">
            <v>0</v>
          </cell>
          <cell r="F122">
            <v>0</v>
          </cell>
          <cell r="G122">
            <v>5</v>
          </cell>
          <cell r="H122">
            <v>10</v>
          </cell>
          <cell r="I122">
            <v>10</v>
          </cell>
          <cell r="J122">
            <v>10</v>
          </cell>
          <cell r="K122">
            <v>10</v>
          </cell>
          <cell r="L122">
            <v>15</v>
          </cell>
          <cell r="M122">
            <v>10</v>
          </cell>
          <cell r="N122">
            <v>15</v>
          </cell>
          <cell r="O122">
            <v>10</v>
          </cell>
          <cell r="P122">
            <v>5</v>
          </cell>
        </row>
        <row r="123">
          <cell r="A123" t="str">
            <v>12|5</v>
          </cell>
          <cell r="B123" t="str">
            <v>5</v>
          </cell>
          <cell r="C123" t="str">
            <v>MEIO-FIO E SARJETA</v>
          </cell>
          <cell r="D123">
            <v>5</v>
          </cell>
          <cell r="E123">
            <v>0</v>
          </cell>
          <cell r="F123">
            <v>0</v>
          </cell>
          <cell r="G123">
            <v>10</v>
          </cell>
          <cell r="H123">
            <v>10</v>
          </cell>
          <cell r="I123">
            <v>10</v>
          </cell>
          <cell r="J123">
            <v>10</v>
          </cell>
          <cell r="K123">
            <v>10</v>
          </cell>
          <cell r="L123">
            <v>15</v>
          </cell>
          <cell r="M123">
            <v>15</v>
          </cell>
          <cell r="N123">
            <v>10</v>
          </cell>
          <cell r="O123">
            <v>10</v>
          </cell>
          <cell r="P123">
            <v>0</v>
          </cell>
        </row>
        <row r="124">
          <cell r="A124" t="str">
            <v>12|6</v>
          </cell>
          <cell r="B124" t="str">
            <v>6</v>
          </cell>
          <cell r="C124" t="str">
            <v>PAISAGISMO / URBANISMO</v>
          </cell>
          <cell r="D124">
            <v>3</v>
          </cell>
          <cell r="E124">
            <v>0</v>
          </cell>
          <cell r="F124">
            <v>0</v>
          </cell>
          <cell r="G124">
            <v>0</v>
          </cell>
          <cell r="H124">
            <v>5</v>
          </cell>
          <cell r="I124">
            <v>10</v>
          </cell>
          <cell r="J124">
            <v>10</v>
          </cell>
          <cell r="K124">
            <v>10</v>
          </cell>
          <cell r="L124">
            <v>15</v>
          </cell>
          <cell r="M124">
            <v>15</v>
          </cell>
          <cell r="N124">
            <v>15</v>
          </cell>
          <cell r="O124">
            <v>10</v>
          </cell>
          <cell r="P124">
            <v>10</v>
          </cell>
        </row>
        <row r="125">
          <cell r="A125" t="str">
            <v>12|7</v>
          </cell>
          <cell r="B125" t="str">
            <v>7</v>
          </cell>
          <cell r="C125" t="str">
            <v>SINALIZAÇÃO DE TRÂNSITO</v>
          </cell>
          <cell r="D125">
            <v>5</v>
          </cell>
          <cell r="E125">
            <v>0</v>
          </cell>
          <cell r="F125">
            <v>0</v>
          </cell>
          <cell r="G125">
            <v>0</v>
          </cell>
          <cell r="H125">
            <v>5</v>
          </cell>
          <cell r="I125">
            <v>10</v>
          </cell>
          <cell r="J125">
            <v>10</v>
          </cell>
          <cell r="K125">
            <v>15</v>
          </cell>
          <cell r="L125">
            <v>15</v>
          </cell>
          <cell r="M125">
            <v>15</v>
          </cell>
          <cell r="N125">
            <v>10</v>
          </cell>
          <cell r="O125">
            <v>10</v>
          </cell>
          <cell r="P125">
            <v>10</v>
          </cell>
        </row>
        <row r="126">
          <cell r="A126" t="str">
            <v>12|8</v>
          </cell>
          <cell r="B126" t="str">
            <v>8</v>
          </cell>
          <cell r="C126" t="str">
            <v>ILUMINAÇÃO PÚBLICA</v>
          </cell>
          <cell r="D126">
            <v>6</v>
          </cell>
          <cell r="E126">
            <v>0</v>
          </cell>
          <cell r="F126">
            <v>0</v>
          </cell>
          <cell r="G126">
            <v>0</v>
          </cell>
          <cell r="H126">
            <v>10</v>
          </cell>
          <cell r="I126">
            <v>10</v>
          </cell>
          <cell r="J126">
            <v>10</v>
          </cell>
          <cell r="K126">
            <v>20</v>
          </cell>
          <cell r="L126">
            <v>10</v>
          </cell>
          <cell r="M126">
            <v>10</v>
          </cell>
          <cell r="N126">
            <v>10</v>
          </cell>
          <cell r="O126">
            <v>10</v>
          </cell>
          <cell r="P126">
            <v>10</v>
          </cell>
        </row>
        <row r="127">
          <cell r="A127" t="str">
            <v>12|9</v>
          </cell>
          <cell r="B127" t="str">
            <v>9</v>
          </cell>
          <cell r="C127" t="str">
            <v>SERVIÇOS DIVERSOS</v>
          </cell>
          <cell r="D127">
            <v>6</v>
          </cell>
          <cell r="E127">
            <v>5</v>
          </cell>
          <cell r="F127">
            <v>5</v>
          </cell>
          <cell r="G127">
            <v>5</v>
          </cell>
          <cell r="H127">
            <v>5</v>
          </cell>
          <cell r="I127">
            <v>10</v>
          </cell>
          <cell r="J127">
            <v>10</v>
          </cell>
          <cell r="K127">
            <v>10</v>
          </cell>
          <cell r="L127">
            <v>10</v>
          </cell>
          <cell r="M127">
            <v>10</v>
          </cell>
          <cell r="N127">
            <v>10</v>
          </cell>
          <cell r="O127">
            <v>10</v>
          </cell>
          <cell r="P127">
            <v>10</v>
          </cell>
        </row>
        <row r="128">
          <cell r="A128" t="str">
            <v>12|10</v>
          </cell>
          <cell r="B128" t="str">
            <v>10</v>
          </cell>
          <cell r="C128" t="str">
            <v>DRENAGEM</v>
          </cell>
          <cell r="D128">
            <v>0</v>
          </cell>
          <cell r="E128">
            <v>10</v>
          </cell>
          <cell r="F128">
            <v>15</v>
          </cell>
          <cell r="G128">
            <v>10</v>
          </cell>
          <cell r="H128">
            <v>10</v>
          </cell>
          <cell r="I128">
            <v>10</v>
          </cell>
          <cell r="J128">
            <v>10</v>
          </cell>
          <cell r="K128">
            <v>10</v>
          </cell>
          <cell r="L128">
            <v>10</v>
          </cell>
          <cell r="M128">
            <v>10</v>
          </cell>
          <cell r="N128">
            <v>5</v>
          </cell>
          <cell r="O128">
            <v>0</v>
          </cell>
          <cell r="P128">
            <v>0</v>
          </cell>
        </row>
        <row r="129">
          <cell r="A129" t="str">
            <v>12|11</v>
          </cell>
          <cell r="B129" t="str">
            <v>11</v>
          </cell>
          <cell r="C129" t="str">
            <v>ENSAIOS TECNOLÓGICOS</v>
          </cell>
          <cell r="D129">
            <v>0</v>
          </cell>
          <cell r="E129">
            <v>1</v>
          </cell>
          <cell r="F129">
            <v>1</v>
          </cell>
          <cell r="G129">
            <v>10</v>
          </cell>
          <cell r="H129">
            <v>10</v>
          </cell>
          <cell r="I129">
            <v>15</v>
          </cell>
          <cell r="J129">
            <v>15</v>
          </cell>
          <cell r="K129">
            <v>15</v>
          </cell>
          <cell r="L129">
            <v>15</v>
          </cell>
          <cell r="M129">
            <v>5</v>
          </cell>
          <cell r="N129">
            <v>3</v>
          </cell>
          <cell r="O129">
            <v>5</v>
          </cell>
          <cell r="P129">
            <v>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showZeros="0" topLeftCell="B1" zoomScaleNormal="100" workbookViewId="0">
      <selection activeCell="F10" sqref="F10"/>
    </sheetView>
  </sheetViews>
  <sheetFormatPr defaultColWidth="10.6640625" defaultRowHeight="12.75" x14ac:dyDescent="0.2"/>
  <cols>
    <col min="1" max="1" width="5" style="80" hidden="1" customWidth="1"/>
    <col min="2" max="2" width="15.5" style="80" customWidth="1"/>
    <col min="3" max="3" width="26.1640625" style="80" customWidth="1"/>
    <col min="4" max="4" width="17.6640625" style="80" customWidth="1"/>
    <col min="5" max="5" width="3.83203125" style="80" customWidth="1"/>
    <col min="6" max="15" width="12.5" style="80" customWidth="1"/>
    <col min="16" max="17" width="13.83203125" style="80" customWidth="1"/>
    <col min="18" max="18" width="8.33203125" style="80" bestFit="1" customWidth="1"/>
    <col min="19" max="19" width="14" style="80" customWidth="1"/>
    <col min="20" max="20" width="8.5" style="80" customWidth="1"/>
    <col min="21" max="22" width="0.6640625" style="80" customWidth="1"/>
    <col min="23" max="259" width="10.6640625" style="80"/>
    <col min="260" max="260" width="13.1640625" style="80" customWidth="1"/>
    <col min="261" max="261" width="79" style="80" customWidth="1"/>
    <col min="262" max="262" width="3.83203125" style="80" customWidth="1"/>
    <col min="263" max="275" width="12.5" style="80" customWidth="1"/>
    <col min="276" max="276" width="8.5" style="80" customWidth="1"/>
    <col min="277" max="515" width="10.6640625" style="80"/>
    <col min="516" max="516" width="13.1640625" style="80" customWidth="1"/>
    <col min="517" max="517" width="79" style="80" customWidth="1"/>
    <col min="518" max="518" width="3.83203125" style="80" customWidth="1"/>
    <col min="519" max="531" width="12.5" style="80" customWidth="1"/>
    <col min="532" max="532" width="8.5" style="80" customWidth="1"/>
    <col min="533" max="771" width="10.6640625" style="80"/>
    <col min="772" max="772" width="13.1640625" style="80" customWidth="1"/>
    <col min="773" max="773" width="79" style="80" customWidth="1"/>
    <col min="774" max="774" width="3.83203125" style="80" customWidth="1"/>
    <col min="775" max="787" width="12.5" style="80" customWidth="1"/>
    <col min="788" max="788" width="8.5" style="80" customWidth="1"/>
    <col min="789" max="1027" width="10.6640625" style="80"/>
    <col min="1028" max="1028" width="13.1640625" style="80" customWidth="1"/>
    <col min="1029" max="1029" width="79" style="80" customWidth="1"/>
    <col min="1030" max="1030" width="3.83203125" style="80" customWidth="1"/>
    <col min="1031" max="1043" width="12.5" style="80" customWidth="1"/>
    <col min="1044" max="1044" width="8.5" style="80" customWidth="1"/>
    <col min="1045" max="1283" width="10.6640625" style="80"/>
    <col min="1284" max="1284" width="13.1640625" style="80" customWidth="1"/>
    <col min="1285" max="1285" width="79" style="80" customWidth="1"/>
    <col min="1286" max="1286" width="3.83203125" style="80" customWidth="1"/>
    <col min="1287" max="1299" width="12.5" style="80" customWidth="1"/>
    <col min="1300" max="1300" width="8.5" style="80" customWidth="1"/>
    <col min="1301" max="1539" width="10.6640625" style="80"/>
    <col min="1540" max="1540" width="13.1640625" style="80" customWidth="1"/>
    <col min="1541" max="1541" width="79" style="80" customWidth="1"/>
    <col min="1542" max="1542" width="3.83203125" style="80" customWidth="1"/>
    <col min="1543" max="1555" width="12.5" style="80" customWidth="1"/>
    <col min="1556" max="1556" width="8.5" style="80" customWidth="1"/>
    <col min="1557" max="1795" width="10.6640625" style="80"/>
    <col min="1796" max="1796" width="13.1640625" style="80" customWidth="1"/>
    <col min="1797" max="1797" width="79" style="80" customWidth="1"/>
    <col min="1798" max="1798" width="3.83203125" style="80" customWidth="1"/>
    <col min="1799" max="1811" width="12.5" style="80" customWidth="1"/>
    <col min="1812" max="1812" width="8.5" style="80" customWidth="1"/>
    <col min="1813" max="2051" width="10.6640625" style="80"/>
    <col min="2052" max="2052" width="13.1640625" style="80" customWidth="1"/>
    <col min="2053" max="2053" width="79" style="80" customWidth="1"/>
    <col min="2054" max="2054" width="3.83203125" style="80" customWidth="1"/>
    <col min="2055" max="2067" width="12.5" style="80" customWidth="1"/>
    <col min="2068" max="2068" width="8.5" style="80" customWidth="1"/>
    <col min="2069" max="2307" width="10.6640625" style="80"/>
    <col min="2308" max="2308" width="13.1640625" style="80" customWidth="1"/>
    <col min="2309" max="2309" width="79" style="80" customWidth="1"/>
    <col min="2310" max="2310" width="3.83203125" style="80" customWidth="1"/>
    <col min="2311" max="2323" width="12.5" style="80" customWidth="1"/>
    <col min="2324" max="2324" width="8.5" style="80" customWidth="1"/>
    <col min="2325" max="2563" width="10.6640625" style="80"/>
    <col min="2564" max="2564" width="13.1640625" style="80" customWidth="1"/>
    <col min="2565" max="2565" width="79" style="80" customWidth="1"/>
    <col min="2566" max="2566" width="3.83203125" style="80" customWidth="1"/>
    <col min="2567" max="2579" width="12.5" style="80" customWidth="1"/>
    <col min="2580" max="2580" width="8.5" style="80" customWidth="1"/>
    <col min="2581" max="2819" width="10.6640625" style="80"/>
    <col min="2820" max="2820" width="13.1640625" style="80" customWidth="1"/>
    <col min="2821" max="2821" width="79" style="80" customWidth="1"/>
    <col min="2822" max="2822" width="3.83203125" style="80" customWidth="1"/>
    <col min="2823" max="2835" width="12.5" style="80" customWidth="1"/>
    <col min="2836" max="2836" width="8.5" style="80" customWidth="1"/>
    <col min="2837" max="3075" width="10.6640625" style="80"/>
    <col min="3076" max="3076" width="13.1640625" style="80" customWidth="1"/>
    <col min="3077" max="3077" width="79" style="80" customWidth="1"/>
    <col min="3078" max="3078" width="3.83203125" style="80" customWidth="1"/>
    <col min="3079" max="3091" width="12.5" style="80" customWidth="1"/>
    <col min="3092" max="3092" width="8.5" style="80" customWidth="1"/>
    <col min="3093" max="3331" width="10.6640625" style="80"/>
    <col min="3332" max="3332" width="13.1640625" style="80" customWidth="1"/>
    <col min="3333" max="3333" width="79" style="80" customWidth="1"/>
    <col min="3334" max="3334" width="3.83203125" style="80" customWidth="1"/>
    <col min="3335" max="3347" width="12.5" style="80" customWidth="1"/>
    <col min="3348" max="3348" width="8.5" style="80" customWidth="1"/>
    <col min="3349" max="3587" width="10.6640625" style="80"/>
    <col min="3588" max="3588" width="13.1640625" style="80" customWidth="1"/>
    <col min="3589" max="3589" width="79" style="80" customWidth="1"/>
    <col min="3590" max="3590" width="3.83203125" style="80" customWidth="1"/>
    <col min="3591" max="3603" width="12.5" style="80" customWidth="1"/>
    <col min="3604" max="3604" width="8.5" style="80" customWidth="1"/>
    <col min="3605" max="3843" width="10.6640625" style="80"/>
    <col min="3844" max="3844" width="13.1640625" style="80" customWidth="1"/>
    <col min="3845" max="3845" width="79" style="80" customWidth="1"/>
    <col min="3846" max="3846" width="3.83203125" style="80" customWidth="1"/>
    <col min="3847" max="3859" width="12.5" style="80" customWidth="1"/>
    <col min="3860" max="3860" width="8.5" style="80" customWidth="1"/>
    <col min="3861" max="4099" width="10.6640625" style="80"/>
    <col min="4100" max="4100" width="13.1640625" style="80" customWidth="1"/>
    <col min="4101" max="4101" width="79" style="80" customWidth="1"/>
    <col min="4102" max="4102" width="3.83203125" style="80" customWidth="1"/>
    <col min="4103" max="4115" width="12.5" style="80" customWidth="1"/>
    <col min="4116" max="4116" width="8.5" style="80" customWidth="1"/>
    <col min="4117" max="4355" width="10.6640625" style="80"/>
    <col min="4356" max="4356" width="13.1640625" style="80" customWidth="1"/>
    <col min="4357" max="4357" width="79" style="80" customWidth="1"/>
    <col min="4358" max="4358" width="3.83203125" style="80" customWidth="1"/>
    <col min="4359" max="4371" width="12.5" style="80" customWidth="1"/>
    <col min="4372" max="4372" width="8.5" style="80" customWidth="1"/>
    <col min="4373" max="4611" width="10.6640625" style="80"/>
    <col min="4612" max="4612" width="13.1640625" style="80" customWidth="1"/>
    <col min="4613" max="4613" width="79" style="80" customWidth="1"/>
    <col min="4614" max="4614" width="3.83203125" style="80" customWidth="1"/>
    <col min="4615" max="4627" width="12.5" style="80" customWidth="1"/>
    <col min="4628" max="4628" width="8.5" style="80" customWidth="1"/>
    <col min="4629" max="4867" width="10.6640625" style="80"/>
    <col min="4868" max="4868" width="13.1640625" style="80" customWidth="1"/>
    <col min="4869" max="4869" width="79" style="80" customWidth="1"/>
    <col min="4870" max="4870" width="3.83203125" style="80" customWidth="1"/>
    <col min="4871" max="4883" width="12.5" style="80" customWidth="1"/>
    <col min="4884" max="4884" width="8.5" style="80" customWidth="1"/>
    <col min="4885" max="5123" width="10.6640625" style="80"/>
    <col min="5124" max="5124" width="13.1640625" style="80" customWidth="1"/>
    <col min="5125" max="5125" width="79" style="80" customWidth="1"/>
    <col min="5126" max="5126" width="3.83203125" style="80" customWidth="1"/>
    <col min="5127" max="5139" width="12.5" style="80" customWidth="1"/>
    <col min="5140" max="5140" width="8.5" style="80" customWidth="1"/>
    <col min="5141" max="5379" width="10.6640625" style="80"/>
    <col min="5380" max="5380" width="13.1640625" style="80" customWidth="1"/>
    <col min="5381" max="5381" width="79" style="80" customWidth="1"/>
    <col min="5382" max="5382" width="3.83203125" style="80" customWidth="1"/>
    <col min="5383" max="5395" width="12.5" style="80" customWidth="1"/>
    <col min="5396" max="5396" width="8.5" style="80" customWidth="1"/>
    <col min="5397" max="5635" width="10.6640625" style="80"/>
    <col min="5636" max="5636" width="13.1640625" style="80" customWidth="1"/>
    <col min="5637" max="5637" width="79" style="80" customWidth="1"/>
    <col min="5638" max="5638" width="3.83203125" style="80" customWidth="1"/>
    <col min="5639" max="5651" width="12.5" style="80" customWidth="1"/>
    <col min="5652" max="5652" width="8.5" style="80" customWidth="1"/>
    <col min="5653" max="5891" width="10.6640625" style="80"/>
    <col min="5892" max="5892" width="13.1640625" style="80" customWidth="1"/>
    <col min="5893" max="5893" width="79" style="80" customWidth="1"/>
    <col min="5894" max="5894" width="3.83203125" style="80" customWidth="1"/>
    <col min="5895" max="5907" width="12.5" style="80" customWidth="1"/>
    <col min="5908" max="5908" width="8.5" style="80" customWidth="1"/>
    <col min="5909" max="6147" width="10.6640625" style="80"/>
    <col min="6148" max="6148" width="13.1640625" style="80" customWidth="1"/>
    <col min="6149" max="6149" width="79" style="80" customWidth="1"/>
    <col min="6150" max="6150" width="3.83203125" style="80" customWidth="1"/>
    <col min="6151" max="6163" width="12.5" style="80" customWidth="1"/>
    <col min="6164" max="6164" width="8.5" style="80" customWidth="1"/>
    <col min="6165" max="6403" width="10.6640625" style="80"/>
    <col min="6404" max="6404" width="13.1640625" style="80" customWidth="1"/>
    <col min="6405" max="6405" width="79" style="80" customWidth="1"/>
    <col min="6406" max="6406" width="3.83203125" style="80" customWidth="1"/>
    <col min="6407" max="6419" width="12.5" style="80" customWidth="1"/>
    <col min="6420" max="6420" width="8.5" style="80" customWidth="1"/>
    <col min="6421" max="6659" width="10.6640625" style="80"/>
    <col min="6660" max="6660" width="13.1640625" style="80" customWidth="1"/>
    <col min="6661" max="6661" width="79" style="80" customWidth="1"/>
    <col min="6662" max="6662" width="3.83203125" style="80" customWidth="1"/>
    <col min="6663" max="6675" width="12.5" style="80" customWidth="1"/>
    <col min="6676" max="6676" width="8.5" style="80" customWidth="1"/>
    <col min="6677" max="6915" width="10.6640625" style="80"/>
    <col min="6916" max="6916" width="13.1640625" style="80" customWidth="1"/>
    <col min="6917" max="6917" width="79" style="80" customWidth="1"/>
    <col min="6918" max="6918" width="3.83203125" style="80" customWidth="1"/>
    <col min="6919" max="6931" width="12.5" style="80" customWidth="1"/>
    <col min="6932" max="6932" width="8.5" style="80" customWidth="1"/>
    <col min="6933" max="7171" width="10.6640625" style="80"/>
    <col min="7172" max="7172" width="13.1640625" style="80" customWidth="1"/>
    <col min="7173" max="7173" width="79" style="80" customWidth="1"/>
    <col min="7174" max="7174" width="3.83203125" style="80" customWidth="1"/>
    <col min="7175" max="7187" width="12.5" style="80" customWidth="1"/>
    <col min="7188" max="7188" width="8.5" style="80" customWidth="1"/>
    <col min="7189" max="7427" width="10.6640625" style="80"/>
    <col min="7428" max="7428" width="13.1640625" style="80" customWidth="1"/>
    <col min="7429" max="7429" width="79" style="80" customWidth="1"/>
    <col min="7430" max="7430" width="3.83203125" style="80" customWidth="1"/>
    <col min="7431" max="7443" width="12.5" style="80" customWidth="1"/>
    <col min="7444" max="7444" width="8.5" style="80" customWidth="1"/>
    <col min="7445" max="7683" width="10.6640625" style="80"/>
    <col min="7684" max="7684" width="13.1640625" style="80" customWidth="1"/>
    <col min="7685" max="7685" width="79" style="80" customWidth="1"/>
    <col min="7686" max="7686" width="3.83203125" style="80" customWidth="1"/>
    <col min="7687" max="7699" width="12.5" style="80" customWidth="1"/>
    <col min="7700" max="7700" width="8.5" style="80" customWidth="1"/>
    <col min="7701" max="7939" width="10.6640625" style="80"/>
    <col min="7940" max="7940" width="13.1640625" style="80" customWidth="1"/>
    <col min="7941" max="7941" width="79" style="80" customWidth="1"/>
    <col min="7942" max="7942" width="3.83203125" style="80" customWidth="1"/>
    <col min="7943" max="7955" width="12.5" style="80" customWidth="1"/>
    <col min="7956" max="7956" width="8.5" style="80" customWidth="1"/>
    <col min="7957" max="8195" width="10.6640625" style="80"/>
    <col min="8196" max="8196" width="13.1640625" style="80" customWidth="1"/>
    <col min="8197" max="8197" width="79" style="80" customWidth="1"/>
    <col min="8198" max="8198" width="3.83203125" style="80" customWidth="1"/>
    <col min="8199" max="8211" width="12.5" style="80" customWidth="1"/>
    <col min="8212" max="8212" width="8.5" style="80" customWidth="1"/>
    <col min="8213" max="8451" width="10.6640625" style="80"/>
    <col min="8452" max="8452" width="13.1640625" style="80" customWidth="1"/>
    <col min="8453" max="8453" width="79" style="80" customWidth="1"/>
    <col min="8454" max="8454" width="3.83203125" style="80" customWidth="1"/>
    <col min="8455" max="8467" width="12.5" style="80" customWidth="1"/>
    <col min="8468" max="8468" width="8.5" style="80" customWidth="1"/>
    <col min="8469" max="8707" width="10.6640625" style="80"/>
    <col min="8708" max="8708" width="13.1640625" style="80" customWidth="1"/>
    <col min="8709" max="8709" width="79" style="80" customWidth="1"/>
    <col min="8710" max="8710" width="3.83203125" style="80" customWidth="1"/>
    <col min="8711" max="8723" width="12.5" style="80" customWidth="1"/>
    <col min="8724" max="8724" width="8.5" style="80" customWidth="1"/>
    <col min="8725" max="8963" width="10.6640625" style="80"/>
    <col min="8964" max="8964" width="13.1640625" style="80" customWidth="1"/>
    <col min="8965" max="8965" width="79" style="80" customWidth="1"/>
    <col min="8966" max="8966" width="3.83203125" style="80" customWidth="1"/>
    <col min="8967" max="8979" width="12.5" style="80" customWidth="1"/>
    <col min="8980" max="8980" width="8.5" style="80" customWidth="1"/>
    <col min="8981" max="9219" width="10.6640625" style="80"/>
    <col min="9220" max="9220" width="13.1640625" style="80" customWidth="1"/>
    <col min="9221" max="9221" width="79" style="80" customWidth="1"/>
    <col min="9222" max="9222" width="3.83203125" style="80" customWidth="1"/>
    <col min="9223" max="9235" width="12.5" style="80" customWidth="1"/>
    <col min="9236" max="9236" width="8.5" style="80" customWidth="1"/>
    <col min="9237" max="9475" width="10.6640625" style="80"/>
    <col min="9476" max="9476" width="13.1640625" style="80" customWidth="1"/>
    <col min="9477" max="9477" width="79" style="80" customWidth="1"/>
    <col min="9478" max="9478" width="3.83203125" style="80" customWidth="1"/>
    <col min="9479" max="9491" width="12.5" style="80" customWidth="1"/>
    <col min="9492" max="9492" width="8.5" style="80" customWidth="1"/>
    <col min="9493" max="9731" width="10.6640625" style="80"/>
    <col min="9732" max="9732" width="13.1640625" style="80" customWidth="1"/>
    <col min="9733" max="9733" width="79" style="80" customWidth="1"/>
    <col min="9734" max="9734" width="3.83203125" style="80" customWidth="1"/>
    <col min="9735" max="9747" width="12.5" style="80" customWidth="1"/>
    <col min="9748" max="9748" width="8.5" style="80" customWidth="1"/>
    <col min="9749" max="9987" width="10.6640625" style="80"/>
    <col min="9988" max="9988" width="13.1640625" style="80" customWidth="1"/>
    <col min="9989" max="9989" width="79" style="80" customWidth="1"/>
    <col min="9990" max="9990" width="3.83203125" style="80" customWidth="1"/>
    <col min="9991" max="10003" width="12.5" style="80" customWidth="1"/>
    <col min="10004" max="10004" width="8.5" style="80" customWidth="1"/>
    <col min="10005" max="10243" width="10.6640625" style="80"/>
    <col min="10244" max="10244" width="13.1640625" style="80" customWidth="1"/>
    <col min="10245" max="10245" width="79" style="80" customWidth="1"/>
    <col min="10246" max="10246" width="3.83203125" style="80" customWidth="1"/>
    <col min="10247" max="10259" width="12.5" style="80" customWidth="1"/>
    <col min="10260" max="10260" width="8.5" style="80" customWidth="1"/>
    <col min="10261" max="10499" width="10.6640625" style="80"/>
    <col min="10500" max="10500" width="13.1640625" style="80" customWidth="1"/>
    <col min="10501" max="10501" width="79" style="80" customWidth="1"/>
    <col min="10502" max="10502" width="3.83203125" style="80" customWidth="1"/>
    <col min="10503" max="10515" width="12.5" style="80" customWidth="1"/>
    <col min="10516" max="10516" width="8.5" style="80" customWidth="1"/>
    <col min="10517" max="10755" width="10.6640625" style="80"/>
    <col min="10756" max="10756" width="13.1640625" style="80" customWidth="1"/>
    <col min="10757" max="10757" width="79" style="80" customWidth="1"/>
    <col min="10758" max="10758" width="3.83203125" style="80" customWidth="1"/>
    <col min="10759" max="10771" width="12.5" style="80" customWidth="1"/>
    <col min="10772" max="10772" width="8.5" style="80" customWidth="1"/>
    <col min="10773" max="11011" width="10.6640625" style="80"/>
    <col min="11012" max="11012" width="13.1640625" style="80" customWidth="1"/>
    <col min="11013" max="11013" width="79" style="80" customWidth="1"/>
    <col min="11014" max="11014" width="3.83203125" style="80" customWidth="1"/>
    <col min="11015" max="11027" width="12.5" style="80" customWidth="1"/>
    <col min="11028" max="11028" width="8.5" style="80" customWidth="1"/>
    <col min="11029" max="11267" width="10.6640625" style="80"/>
    <col min="11268" max="11268" width="13.1640625" style="80" customWidth="1"/>
    <col min="11269" max="11269" width="79" style="80" customWidth="1"/>
    <col min="11270" max="11270" width="3.83203125" style="80" customWidth="1"/>
    <col min="11271" max="11283" width="12.5" style="80" customWidth="1"/>
    <col min="11284" max="11284" width="8.5" style="80" customWidth="1"/>
    <col min="11285" max="11523" width="10.6640625" style="80"/>
    <col min="11524" max="11524" width="13.1640625" style="80" customWidth="1"/>
    <col min="11525" max="11525" width="79" style="80" customWidth="1"/>
    <col min="11526" max="11526" width="3.83203125" style="80" customWidth="1"/>
    <col min="11527" max="11539" width="12.5" style="80" customWidth="1"/>
    <col min="11540" max="11540" width="8.5" style="80" customWidth="1"/>
    <col min="11541" max="11779" width="10.6640625" style="80"/>
    <col min="11780" max="11780" width="13.1640625" style="80" customWidth="1"/>
    <col min="11781" max="11781" width="79" style="80" customWidth="1"/>
    <col min="11782" max="11782" width="3.83203125" style="80" customWidth="1"/>
    <col min="11783" max="11795" width="12.5" style="80" customWidth="1"/>
    <col min="11796" max="11796" width="8.5" style="80" customWidth="1"/>
    <col min="11797" max="12035" width="10.6640625" style="80"/>
    <col min="12036" max="12036" width="13.1640625" style="80" customWidth="1"/>
    <col min="12037" max="12037" width="79" style="80" customWidth="1"/>
    <col min="12038" max="12038" width="3.83203125" style="80" customWidth="1"/>
    <col min="12039" max="12051" width="12.5" style="80" customWidth="1"/>
    <col min="12052" max="12052" width="8.5" style="80" customWidth="1"/>
    <col min="12053" max="12291" width="10.6640625" style="80"/>
    <col min="12292" max="12292" width="13.1640625" style="80" customWidth="1"/>
    <col min="12293" max="12293" width="79" style="80" customWidth="1"/>
    <col min="12294" max="12294" width="3.83203125" style="80" customWidth="1"/>
    <col min="12295" max="12307" width="12.5" style="80" customWidth="1"/>
    <col min="12308" max="12308" width="8.5" style="80" customWidth="1"/>
    <col min="12309" max="12547" width="10.6640625" style="80"/>
    <col min="12548" max="12548" width="13.1640625" style="80" customWidth="1"/>
    <col min="12549" max="12549" width="79" style="80" customWidth="1"/>
    <col min="12550" max="12550" width="3.83203125" style="80" customWidth="1"/>
    <col min="12551" max="12563" width="12.5" style="80" customWidth="1"/>
    <col min="12564" max="12564" width="8.5" style="80" customWidth="1"/>
    <col min="12565" max="12803" width="10.6640625" style="80"/>
    <col min="12804" max="12804" width="13.1640625" style="80" customWidth="1"/>
    <col min="12805" max="12805" width="79" style="80" customWidth="1"/>
    <col min="12806" max="12806" width="3.83203125" style="80" customWidth="1"/>
    <col min="12807" max="12819" width="12.5" style="80" customWidth="1"/>
    <col min="12820" max="12820" width="8.5" style="80" customWidth="1"/>
    <col min="12821" max="13059" width="10.6640625" style="80"/>
    <col min="13060" max="13060" width="13.1640625" style="80" customWidth="1"/>
    <col min="13061" max="13061" width="79" style="80" customWidth="1"/>
    <col min="13062" max="13062" width="3.83203125" style="80" customWidth="1"/>
    <col min="13063" max="13075" width="12.5" style="80" customWidth="1"/>
    <col min="13076" max="13076" width="8.5" style="80" customWidth="1"/>
    <col min="13077" max="13315" width="10.6640625" style="80"/>
    <col min="13316" max="13316" width="13.1640625" style="80" customWidth="1"/>
    <col min="13317" max="13317" width="79" style="80" customWidth="1"/>
    <col min="13318" max="13318" width="3.83203125" style="80" customWidth="1"/>
    <col min="13319" max="13331" width="12.5" style="80" customWidth="1"/>
    <col min="13332" max="13332" width="8.5" style="80" customWidth="1"/>
    <col min="13333" max="13571" width="10.6640625" style="80"/>
    <col min="13572" max="13572" width="13.1640625" style="80" customWidth="1"/>
    <col min="13573" max="13573" width="79" style="80" customWidth="1"/>
    <col min="13574" max="13574" width="3.83203125" style="80" customWidth="1"/>
    <col min="13575" max="13587" width="12.5" style="80" customWidth="1"/>
    <col min="13588" max="13588" width="8.5" style="80" customWidth="1"/>
    <col min="13589" max="13827" width="10.6640625" style="80"/>
    <col min="13828" max="13828" width="13.1640625" style="80" customWidth="1"/>
    <col min="13829" max="13829" width="79" style="80" customWidth="1"/>
    <col min="13830" max="13830" width="3.83203125" style="80" customWidth="1"/>
    <col min="13831" max="13843" width="12.5" style="80" customWidth="1"/>
    <col min="13844" max="13844" width="8.5" style="80" customWidth="1"/>
    <col min="13845" max="14083" width="10.6640625" style="80"/>
    <col min="14084" max="14084" width="13.1640625" style="80" customWidth="1"/>
    <col min="14085" max="14085" width="79" style="80" customWidth="1"/>
    <col min="14086" max="14086" width="3.83203125" style="80" customWidth="1"/>
    <col min="14087" max="14099" width="12.5" style="80" customWidth="1"/>
    <col min="14100" max="14100" width="8.5" style="80" customWidth="1"/>
    <col min="14101" max="14339" width="10.6640625" style="80"/>
    <col min="14340" max="14340" width="13.1640625" style="80" customWidth="1"/>
    <col min="14341" max="14341" width="79" style="80" customWidth="1"/>
    <col min="14342" max="14342" width="3.83203125" style="80" customWidth="1"/>
    <col min="14343" max="14355" width="12.5" style="80" customWidth="1"/>
    <col min="14356" max="14356" width="8.5" style="80" customWidth="1"/>
    <col min="14357" max="14595" width="10.6640625" style="80"/>
    <col min="14596" max="14596" width="13.1640625" style="80" customWidth="1"/>
    <col min="14597" max="14597" width="79" style="80" customWidth="1"/>
    <col min="14598" max="14598" width="3.83203125" style="80" customWidth="1"/>
    <col min="14599" max="14611" width="12.5" style="80" customWidth="1"/>
    <col min="14612" max="14612" width="8.5" style="80" customWidth="1"/>
    <col min="14613" max="14851" width="10.6640625" style="80"/>
    <col min="14852" max="14852" width="13.1640625" style="80" customWidth="1"/>
    <col min="14853" max="14853" width="79" style="80" customWidth="1"/>
    <col min="14854" max="14854" width="3.83203125" style="80" customWidth="1"/>
    <col min="14855" max="14867" width="12.5" style="80" customWidth="1"/>
    <col min="14868" max="14868" width="8.5" style="80" customWidth="1"/>
    <col min="14869" max="15107" width="10.6640625" style="80"/>
    <col min="15108" max="15108" width="13.1640625" style="80" customWidth="1"/>
    <col min="15109" max="15109" width="79" style="80" customWidth="1"/>
    <col min="15110" max="15110" width="3.83203125" style="80" customWidth="1"/>
    <col min="15111" max="15123" width="12.5" style="80" customWidth="1"/>
    <col min="15124" max="15124" width="8.5" style="80" customWidth="1"/>
    <col min="15125" max="15363" width="10.6640625" style="80"/>
    <col min="15364" max="15364" width="13.1640625" style="80" customWidth="1"/>
    <col min="15365" max="15365" width="79" style="80" customWidth="1"/>
    <col min="15366" max="15366" width="3.83203125" style="80" customWidth="1"/>
    <col min="15367" max="15379" width="12.5" style="80" customWidth="1"/>
    <col min="15380" max="15380" width="8.5" style="80" customWidth="1"/>
    <col min="15381" max="15619" width="10.6640625" style="80"/>
    <col min="15620" max="15620" width="13.1640625" style="80" customWidth="1"/>
    <col min="15621" max="15621" width="79" style="80" customWidth="1"/>
    <col min="15622" max="15622" width="3.83203125" style="80" customWidth="1"/>
    <col min="15623" max="15635" width="12.5" style="80" customWidth="1"/>
    <col min="15636" max="15636" width="8.5" style="80" customWidth="1"/>
    <col min="15637" max="15875" width="10.6640625" style="80"/>
    <col min="15876" max="15876" width="13.1640625" style="80" customWidth="1"/>
    <col min="15877" max="15877" width="79" style="80" customWidth="1"/>
    <col min="15878" max="15878" width="3.83203125" style="80" customWidth="1"/>
    <col min="15879" max="15891" width="12.5" style="80" customWidth="1"/>
    <col min="15892" max="15892" width="8.5" style="80" customWidth="1"/>
    <col min="15893" max="16131" width="10.6640625" style="80"/>
    <col min="16132" max="16132" width="13.1640625" style="80" customWidth="1"/>
    <col min="16133" max="16133" width="79" style="80" customWidth="1"/>
    <col min="16134" max="16134" width="3.83203125" style="80" customWidth="1"/>
    <col min="16135" max="16147" width="12.5" style="80" customWidth="1"/>
    <col min="16148" max="16148" width="8.5" style="80" customWidth="1"/>
    <col min="16149" max="16384" width="10.6640625" style="80"/>
  </cols>
  <sheetData>
    <row r="1" spans="1:24" ht="48" x14ac:dyDescent="0.3">
      <c r="A1" s="72"/>
      <c r="B1" s="268" t="s">
        <v>131</v>
      </c>
      <c r="C1" s="73" t="s">
        <v>64</v>
      </c>
      <c r="D1" s="73"/>
      <c r="E1" s="74"/>
      <c r="F1" s="75"/>
      <c r="G1" s="75"/>
      <c r="H1" s="76"/>
      <c r="I1" s="76"/>
      <c r="J1" s="76"/>
      <c r="K1" s="77" t="s">
        <v>136</v>
      </c>
      <c r="L1" s="76"/>
      <c r="M1" s="76"/>
      <c r="N1" s="78"/>
      <c r="O1" s="78"/>
      <c r="P1" s="76"/>
      <c r="Q1" s="76"/>
      <c r="R1" s="76"/>
      <c r="S1" s="76"/>
      <c r="T1" s="79"/>
    </row>
    <row r="2" spans="1:24" x14ac:dyDescent="0.2">
      <c r="A2" s="72"/>
      <c r="B2" s="81" t="s">
        <v>16</v>
      </c>
      <c r="C2" s="82" t="s">
        <v>104</v>
      </c>
      <c r="D2" s="83"/>
      <c r="E2" s="83"/>
      <c r="F2" s="84" t="s">
        <v>17</v>
      </c>
      <c r="G2" s="85">
        <v>29</v>
      </c>
      <c r="H2" s="86" t="s">
        <v>137</v>
      </c>
      <c r="I2" s="87"/>
      <c r="J2" s="86" t="s">
        <v>138</v>
      </c>
      <c r="K2" s="87"/>
      <c r="L2" s="86" t="s">
        <v>139</v>
      </c>
      <c r="M2" s="88"/>
      <c r="N2" s="89"/>
      <c r="O2" s="87"/>
      <c r="P2" s="90" t="s">
        <v>140</v>
      </c>
      <c r="Q2" s="91"/>
      <c r="R2" s="91"/>
      <c r="S2" s="92">
        <v>3000000</v>
      </c>
      <c r="T2" s="93">
        <f>IF(S4=0,0,S2/S4)</f>
        <v>0.94993825401348908</v>
      </c>
    </row>
    <row r="3" spans="1:24" ht="15" customHeight="1" thickBot="1" x14ac:dyDescent="0.25">
      <c r="A3" s="72"/>
      <c r="B3" s="94" t="s">
        <v>141</v>
      </c>
      <c r="C3" s="95" t="s">
        <v>84</v>
      </c>
      <c r="D3" s="96"/>
      <c r="E3" s="97"/>
      <c r="F3" s="98" t="s">
        <v>18</v>
      </c>
      <c r="G3" s="99">
        <v>1</v>
      </c>
      <c r="H3" s="100" t="s">
        <v>142</v>
      </c>
      <c r="I3" s="101">
        <f ca="1">TODAY()</f>
        <v>43438</v>
      </c>
      <c r="J3" s="100" t="s">
        <v>143</v>
      </c>
      <c r="K3" s="102">
        <f>80-10</f>
        <v>70</v>
      </c>
      <c r="L3" s="100" t="s">
        <v>142</v>
      </c>
      <c r="M3" s="103">
        <f ca="1">I3+K3+10</f>
        <v>43518</v>
      </c>
      <c r="N3" s="100"/>
      <c r="O3" s="104"/>
      <c r="P3" s="105" t="s">
        <v>144</v>
      </c>
      <c r="Q3" s="106"/>
      <c r="R3" s="107"/>
      <c r="S3" s="108">
        <v>158100</v>
      </c>
      <c r="T3" s="109">
        <f>IF(S3=0,0,1-T2)</f>
        <v>5.0061745986510919E-2</v>
      </c>
    </row>
    <row r="4" spans="1:24" ht="18.75" thickBot="1" x14ac:dyDescent="0.3">
      <c r="A4" s="72"/>
      <c r="B4" s="110" t="s">
        <v>145</v>
      </c>
      <c r="C4" s="111">
        <v>16069.06</v>
      </c>
      <c r="D4" s="112"/>
      <c r="E4" s="113" t="s">
        <v>65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 t="s">
        <v>146</v>
      </c>
      <c r="Q4" s="116"/>
      <c r="R4" s="116"/>
      <c r="S4" s="117">
        <f>SUM(S2:S3)</f>
        <v>3158100</v>
      </c>
      <c r="T4" s="118">
        <f>SUM(T2:T3)</f>
        <v>1</v>
      </c>
    </row>
    <row r="5" spans="1:24" ht="12.75" customHeight="1" thickBot="1" x14ac:dyDescent="0.25">
      <c r="A5" s="72"/>
      <c r="B5" s="119" t="s">
        <v>66</v>
      </c>
      <c r="C5" s="120" t="s">
        <v>67</v>
      </c>
      <c r="D5" s="121"/>
      <c r="E5" s="122" t="s">
        <v>147</v>
      </c>
      <c r="F5" s="123" t="s">
        <v>68</v>
      </c>
      <c r="G5" s="124"/>
      <c r="H5" s="124"/>
      <c r="I5" s="124"/>
      <c r="J5" s="124"/>
      <c r="K5" s="124"/>
      <c r="L5" s="124"/>
      <c r="M5" s="125"/>
      <c r="N5" s="125"/>
      <c r="O5" s="125"/>
      <c r="P5" s="126"/>
      <c r="Q5" s="127"/>
      <c r="R5" s="128"/>
      <c r="S5" s="129" t="s">
        <v>44</v>
      </c>
      <c r="T5" s="130" t="s">
        <v>69</v>
      </c>
      <c r="W5" s="80" t="s">
        <v>70</v>
      </c>
      <c r="X5" s="131" t="str">
        <f>IF(S4=S51,"OK","erro")</f>
        <v>OK</v>
      </c>
    </row>
    <row r="6" spans="1:24" ht="13.5" thickBot="1" x14ac:dyDescent="0.25">
      <c r="A6" s="72"/>
      <c r="B6" s="132" t="s">
        <v>71</v>
      </c>
      <c r="C6" s="133"/>
      <c r="D6" s="134"/>
      <c r="E6" s="135">
        <v>8</v>
      </c>
      <c r="F6" s="136">
        <f>IF(E6=0,0,1)</f>
        <v>1</v>
      </c>
      <c r="G6" s="136">
        <f>IF($E$6&lt;2,0,2)</f>
        <v>2</v>
      </c>
      <c r="H6" s="136">
        <f>IF($E$6&lt;3,0,3)</f>
        <v>3</v>
      </c>
      <c r="I6" s="136">
        <f>IF($E$6&lt;4,0,4)</f>
        <v>4</v>
      </c>
      <c r="J6" s="136">
        <f>IF($E$6&lt;5,0,5)</f>
        <v>5</v>
      </c>
      <c r="K6" s="136">
        <f>IF($E$6&lt;6,0,6)</f>
        <v>6</v>
      </c>
      <c r="L6" s="136">
        <f>IF($E$6&lt;7,0,7)</f>
        <v>7</v>
      </c>
      <c r="M6" s="136">
        <f>IF($E$6&lt;8,0,8)</f>
        <v>8</v>
      </c>
      <c r="N6" s="136">
        <f>IF($E$6&lt;9,0,9)</f>
        <v>0</v>
      </c>
      <c r="O6" s="136">
        <f>IF($E$6&lt;10,0,10)</f>
        <v>0</v>
      </c>
      <c r="P6" s="136">
        <f>IF($E$6&lt;11,0,11)</f>
        <v>0</v>
      </c>
      <c r="Q6" s="137">
        <f>IF($E$6&lt;12,0,12)</f>
        <v>0</v>
      </c>
      <c r="R6" s="138"/>
      <c r="S6" s="139" t="s">
        <v>72</v>
      </c>
      <c r="T6" s="140" t="s">
        <v>44</v>
      </c>
    </row>
    <row r="7" spans="1:24" ht="14.25" thickTop="1" thickBot="1" x14ac:dyDescent="0.25">
      <c r="A7" s="72"/>
      <c r="B7" s="132"/>
      <c r="C7" s="133" t="s">
        <v>148</v>
      </c>
      <c r="D7" s="134"/>
      <c r="E7" s="141"/>
      <c r="F7" s="142">
        <f ca="1">IF(E6=0,0,M3)</f>
        <v>43518</v>
      </c>
      <c r="G7" s="142">
        <f ca="1">IF(G6=0,0,F8+1)</f>
        <v>43549</v>
      </c>
      <c r="H7" s="142">
        <f ca="1">IF(H6=0,0,G8+1)</f>
        <v>43580</v>
      </c>
      <c r="I7" s="142">
        <f ca="1">IF(I6=0,0,H8+1)</f>
        <v>43611</v>
      </c>
      <c r="J7" s="142">
        <f ca="1">IF(J6=0,0,I8+1)</f>
        <v>43642</v>
      </c>
      <c r="K7" s="142">
        <f t="shared" ref="K7:Q7" ca="1" si="0">IF(K6=0,0,J8+1)</f>
        <v>43673</v>
      </c>
      <c r="L7" s="142">
        <f t="shared" ca="1" si="0"/>
        <v>43704</v>
      </c>
      <c r="M7" s="142">
        <f t="shared" ca="1" si="0"/>
        <v>43735</v>
      </c>
      <c r="N7" s="142">
        <f t="shared" si="0"/>
        <v>0</v>
      </c>
      <c r="O7" s="142">
        <f t="shared" si="0"/>
        <v>0</v>
      </c>
      <c r="P7" s="142">
        <f t="shared" si="0"/>
        <v>0</v>
      </c>
      <c r="Q7" s="143">
        <f t="shared" si="0"/>
        <v>0</v>
      </c>
      <c r="R7" s="144"/>
      <c r="S7" s="139"/>
      <c r="T7" s="140"/>
    </row>
    <row r="8" spans="1:24" ht="14.25" thickTop="1" thickBot="1" x14ac:dyDescent="0.25">
      <c r="A8" s="72"/>
      <c r="B8" s="132"/>
      <c r="C8" s="133" t="s">
        <v>149</v>
      </c>
      <c r="D8" s="134"/>
      <c r="E8" s="141"/>
      <c r="F8" s="142">
        <f ca="1">IF(E6=0,0,F7+30)</f>
        <v>43548</v>
      </c>
      <c r="G8" s="142">
        <f t="shared" ref="G8:I8" ca="1" si="1">IF(G6=0,0,G7+30)</f>
        <v>43579</v>
      </c>
      <c r="H8" s="142">
        <f t="shared" ca="1" si="1"/>
        <v>43610</v>
      </c>
      <c r="I8" s="142">
        <f t="shared" ca="1" si="1"/>
        <v>43641</v>
      </c>
      <c r="J8" s="142">
        <f ca="1">IF(J6=0,0,J7+30)</f>
        <v>43672</v>
      </c>
      <c r="K8" s="142">
        <f t="shared" ref="K8:Q8" ca="1" si="2">IF(K6=0,0,K7+30)</f>
        <v>43703</v>
      </c>
      <c r="L8" s="142">
        <f t="shared" ca="1" si="2"/>
        <v>43734</v>
      </c>
      <c r="M8" s="142">
        <f t="shared" ca="1" si="2"/>
        <v>43765</v>
      </c>
      <c r="N8" s="142">
        <f t="shared" si="2"/>
        <v>0</v>
      </c>
      <c r="O8" s="142">
        <f t="shared" si="2"/>
        <v>0</v>
      </c>
      <c r="P8" s="142">
        <f t="shared" si="2"/>
        <v>0</v>
      </c>
      <c r="Q8" s="143">
        <f t="shared" si="2"/>
        <v>0</v>
      </c>
      <c r="R8" s="144"/>
      <c r="S8" s="139"/>
      <c r="T8" s="140"/>
    </row>
    <row r="9" spans="1:24" ht="13.5" thickTop="1" x14ac:dyDescent="0.2">
      <c r="A9" s="145" t="str">
        <f>CONCATENATE($E$6,"|",B9)</f>
        <v>8|1</v>
      </c>
      <c r="B9" s="146">
        <v>1</v>
      </c>
      <c r="C9" s="147" t="s">
        <v>39</v>
      </c>
      <c r="D9" s="148"/>
      <c r="E9" s="149">
        <v>1</v>
      </c>
      <c r="F9" s="150">
        <v>15</v>
      </c>
      <c r="G9" s="150">
        <v>20</v>
      </c>
      <c r="H9" s="150">
        <v>25</v>
      </c>
      <c r="I9" s="150">
        <v>25</v>
      </c>
      <c r="J9" s="150">
        <v>10</v>
      </c>
      <c r="K9" s="150">
        <v>5</v>
      </c>
      <c r="L9" s="150">
        <v>0</v>
      </c>
      <c r="M9" s="150">
        <v>0</v>
      </c>
      <c r="N9" s="150">
        <f>IF(N$6=0,0,VLOOKUP($A9,[1]base!$A:$P,N$6+4,FALSE))</f>
        <v>0</v>
      </c>
      <c r="O9" s="150">
        <f>IF(O$6=0,0,VLOOKUP($A9,[1]base!$A:$P,O$6+4,FALSE))</f>
        <v>0</v>
      </c>
      <c r="P9" s="150">
        <f>IF(P$6=0,0,VLOOKUP($A9,[1]base!$A:$P,P$6+4,FALSE))</f>
        <v>0</v>
      </c>
      <c r="Q9" s="151">
        <f>IF(Q$6=0,0,VLOOKUP($A9,[1]base!$A:$P,Q$6+4,FALSE))</f>
        <v>0</v>
      </c>
      <c r="R9" s="152"/>
      <c r="S9" s="153">
        <f>resumo!H7</f>
        <v>4565.92</v>
      </c>
      <c r="T9" s="154">
        <f t="shared" ref="T9:T19" si="3">IF($S$21=0,0,(S9/$S$21)*100)</f>
        <v>0.14457806909217569</v>
      </c>
      <c r="W9" s="72">
        <f t="shared" ref="W9:W19" si="4">SUM(F9:Q9)</f>
        <v>100</v>
      </c>
    </row>
    <row r="10" spans="1:24" x14ac:dyDescent="0.2">
      <c r="A10" s="145" t="str">
        <f t="shared" ref="A10:A19" si="5">CONCATENATE($E$6,"|",B10)</f>
        <v>8|2</v>
      </c>
      <c r="B10" s="155" t="s">
        <v>21</v>
      </c>
      <c r="C10" s="147" t="s">
        <v>35</v>
      </c>
      <c r="D10" s="148"/>
      <c r="E10" s="149">
        <v>2</v>
      </c>
      <c r="F10" s="150">
        <v>15</v>
      </c>
      <c r="G10" s="150">
        <v>20</v>
      </c>
      <c r="H10" s="150">
        <v>25</v>
      </c>
      <c r="I10" s="150">
        <v>25</v>
      </c>
      <c r="J10" s="150">
        <v>10</v>
      </c>
      <c r="K10" s="150">
        <v>5</v>
      </c>
      <c r="L10" s="150">
        <v>0</v>
      </c>
      <c r="M10" s="150">
        <v>0</v>
      </c>
      <c r="N10" s="150">
        <f>IF(N$6=0,0,VLOOKUP($A10,[1]base!$A:$P,N$6+4,FALSE))</f>
        <v>0</v>
      </c>
      <c r="O10" s="150">
        <f>IF(O$6=0,0,VLOOKUP($A10,[1]base!$A:$P,O$6+4,FALSE))</f>
        <v>0</v>
      </c>
      <c r="P10" s="150">
        <f>IF(P$6=0,0,VLOOKUP($A10,[1]base!$A:$P,P$6+4,FALSE))</f>
        <v>0</v>
      </c>
      <c r="Q10" s="151">
        <f>IF(Q$6=0,0,VLOOKUP($A10,[1]base!$A:$P,Q$6+4,FALSE))</f>
        <v>0</v>
      </c>
      <c r="R10" s="152"/>
      <c r="S10" s="153">
        <f>resumo!H9</f>
        <v>108733.16</v>
      </c>
      <c r="T10" s="154">
        <f t="shared" si="3"/>
        <v>3.4429929387923122</v>
      </c>
      <c r="W10" s="72">
        <f t="shared" si="4"/>
        <v>100</v>
      </c>
    </row>
    <row r="11" spans="1:24" x14ac:dyDescent="0.2">
      <c r="A11" s="145" t="str">
        <f t="shared" si="5"/>
        <v>8|3</v>
      </c>
      <c r="B11" s="155" t="s">
        <v>24</v>
      </c>
      <c r="C11" s="147" t="s">
        <v>40</v>
      </c>
      <c r="D11" s="148"/>
      <c r="E11" s="149">
        <v>3</v>
      </c>
      <c r="F11" s="150">
        <v>5</v>
      </c>
      <c r="G11" s="150">
        <v>10</v>
      </c>
      <c r="H11" s="150">
        <v>15</v>
      </c>
      <c r="I11" s="150">
        <v>20</v>
      </c>
      <c r="J11" s="150">
        <v>20</v>
      </c>
      <c r="K11" s="150">
        <v>20</v>
      </c>
      <c r="L11" s="150">
        <v>10</v>
      </c>
      <c r="M11" s="150">
        <v>0</v>
      </c>
      <c r="N11" s="150">
        <f>IF(N$6=0,0,VLOOKUP($A11,[1]base!$A:$P,N$6+4,FALSE))</f>
        <v>0</v>
      </c>
      <c r="O11" s="150">
        <f>IF(O$6=0,0,VLOOKUP($A11,[1]base!$A:$P,O$6+4,FALSE))</f>
        <v>0</v>
      </c>
      <c r="P11" s="150">
        <f>IF(P$6=0,0,VLOOKUP($A11,[1]base!$A:$P,P$6+4,FALSE))</f>
        <v>0</v>
      </c>
      <c r="Q11" s="151">
        <f>IF(Q$6=0,0,VLOOKUP($A11,[1]base!$A:$P,Q$6+4,FALSE))</f>
        <v>0</v>
      </c>
      <c r="R11" s="152"/>
      <c r="S11" s="153">
        <f>resumo!H13</f>
        <v>918785.15999999992</v>
      </c>
      <c r="T11" s="154">
        <f t="shared" si="3"/>
        <v>29.09297235679681</v>
      </c>
      <c r="W11" s="72">
        <f t="shared" si="4"/>
        <v>100</v>
      </c>
    </row>
    <row r="12" spans="1:24" x14ac:dyDescent="0.2">
      <c r="A12" s="145" t="str">
        <f t="shared" si="5"/>
        <v>8|4</v>
      </c>
      <c r="B12" s="155" t="s">
        <v>26</v>
      </c>
      <c r="C12" s="147" t="s">
        <v>36</v>
      </c>
      <c r="D12" s="148"/>
      <c r="E12" s="149">
        <v>4</v>
      </c>
      <c r="F12" s="150">
        <v>0</v>
      </c>
      <c r="G12" s="150">
        <v>0</v>
      </c>
      <c r="H12" s="150">
        <v>10</v>
      </c>
      <c r="I12" s="150">
        <v>25</v>
      </c>
      <c r="J12" s="150">
        <v>25</v>
      </c>
      <c r="K12" s="150">
        <v>20</v>
      </c>
      <c r="L12" s="150">
        <v>10</v>
      </c>
      <c r="M12" s="150">
        <v>10</v>
      </c>
      <c r="N12" s="150">
        <f>IF(N$6=0,0,VLOOKUP($A12,[1]base!$A:$P,N$6+4,FALSE))</f>
        <v>0</v>
      </c>
      <c r="O12" s="150">
        <f>IF(O$6=0,0,VLOOKUP($A12,[1]base!$A:$P,O$6+4,FALSE))</f>
        <v>0</v>
      </c>
      <c r="P12" s="150">
        <f>IF(P$6=0,0,VLOOKUP($A12,[1]base!$A:$P,P$6+4,FALSE))</f>
        <v>0</v>
      </c>
      <c r="Q12" s="151">
        <f>IF(Q$6=0,0,VLOOKUP($A12,[1]base!$A:$P,Q$6+4,FALSE))</f>
        <v>0</v>
      </c>
      <c r="R12" s="152"/>
      <c r="S12" s="153">
        <f>resumo!H17</f>
        <v>838185.05999999994</v>
      </c>
      <c r="T12" s="154">
        <f t="shared" si="3"/>
        <v>26.540801747886388</v>
      </c>
      <c r="W12" s="72">
        <f t="shared" si="4"/>
        <v>100</v>
      </c>
    </row>
    <row r="13" spans="1:24" x14ac:dyDescent="0.2">
      <c r="A13" s="145" t="str">
        <f t="shared" si="5"/>
        <v>8|5</v>
      </c>
      <c r="B13" s="155" t="s">
        <v>20</v>
      </c>
      <c r="C13" s="147" t="s">
        <v>37</v>
      </c>
      <c r="D13" s="148"/>
      <c r="E13" s="149">
        <v>5</v>
      </c>
      <c r="F13" s="150">
        <v>0</v>
      </c>
      <c r="G13" s="150">
        <v>5</v>
      </c>
      <c r="H13" s="150">
        <v>15</v>
      </c>
      <c r="I13" s="150">
        <v>25</v>
      </c>
      <c r="J13" s="150">
        <v>25</v>
      </c>
      <c r="K13" s="150">
        <v>15</v>
      </c>
      <c r="L13" s="150">
        <v>15</v>
      </c>
      <c r="M13" s="150">
        <v>0</v>
      </c>
      <c r="N13" s="150">
        <f>IF(N$6=0,0,VLOOKUP($A13,[1]base!$A:$P,N$6+4,FALSE))</f>
        <v>0</v>
      </c>
      <c r="O13" s="150">
        <f>IF(O$6=0,0,VLOOKUP($A13,[1]base!$A:$P,O$6+4,FALSE))</f>
        <v>0</v>
      </c>
      <c r="P13" s="150">
        <f>IF(P$6=0,0,VLOOKUP($A13,[1]base!$A:$P,P$6+4,FALSE))</f>
        <v>0</v>
      </c>
      <c r="Q13" s="151">
        <f>IF(Q$6=0,0,VLOOKUP($A13,[1]base!$A:$P,Q$6+4,FALSE))</f>
        <v>0</v>
      </c>
      <c r="R13" s="152"/>
      <c r="S13" s="153">
        <f>resumo!H21</f>
        <v>219147.13</v>
      </c>
      <c r="T13" s="154">
        <f t="shared" si="3"/>
        <v>6.9392080681422383</v>
      </c>
      <c r="W13" s="72">
        <f t="shared" si="4"/>
        <v>100</v>
      </c>
    </row>
    <row r="14" spans="1:24" x14ac:dyDescent="0.2">
      <c r="A14" s="145" t="str">
        <f t="shared" si="5"/>
        <v>8|6</v>
      </c>
      <c r="B14" s="155" t="s">
        <v>27</v>
      </c>
      <c r="C14" s="147" t="s">
        <v>41</v>
      </c>
      <c r="D14" s="148"/>
      <c r="E14" s="149">
        <v>3</v>
      </c>
      <c r="F14" s="150">
        <v>0</v>
      </c>
      <c r="G14" s="150">
        <v>0</v>
      </c>
      <c r="H14" s="150">
        <v>5</v>
      </c>
      <c r="I14" s="150">
        <v>20</v>
      </c>
      <c r="J14" s="150">
        <v>20</v>
      </c>
      <c r="K14" s="150">
        <v>25</v>
      </c>
      <c r="L14" s="150">
        <v>20</v>
      </c>
      <c r="M14" s="150">
        <v>10</v>
      </c>
      <c r="N14" s="150">
        <f>IF(N$6=0,0,VLOOKUP($A14,[1]base!$A:$P,N$6+4,FALSE))</f>
        <v>0</v>
      </c>
      <c r="O14" s="150">
        <f>IF(O$6=0,0,VLOOKUP($A14,[1]base!$A:$P,O$6+4,FALSE))</f>
        <v>0</v>
      </c>
      <c r="P14" s="150">
        <f>IF(P$6=0,0,VLOOKUP($A14,[1]base!$A:$P,P$6+4,FALSE))</f>
        <v>0</v>
      </c>
      <c r="Q14" s="151">
        <f>IF(Q$6=0,0,VLOOKUP($A14,[1]base!$A:$P,Q$6+4,FALSE))</f>
        <v>0</v>
      </c>
      <c r="R14" s="152"/>
      <c r="S14" s="153">
        <f>resumo!H24</f>
        <v>369346.95000000007</v>
      </c>
      <c r="T14" s="154">
        <f t="shared" si="3"/>
        <v>11.695226560273586</v>
      </c>
      <c r="W14" s="72">
        <f t="shared" si="4"/>
        <v>100</v>
      </c>
    </row>
    <row r="15" spans="1:24" x14ac:dyDescent="0.2">
      <c r="A15" s="145" t="str">
        <f t="shared" si="5"/>
        <v>8|7</v>
      </c>
      <c r="B15" s="155" t="s">
        <v>34</v>
      </c>
      <c r="C15" s="147" t="s">
        <v>42</v>
      </c>
      <c r="D15" s="148"/>
      <c r="E15" s="149">
        <v>5</v>
      </c>
      <c r="F15" s="150">
        <v>0</v>
      </c>
      <c r="G15" s="150">
        <v>0</v>
      </c>
      <c r="H15" s="150">
        <v>5</v>
      </c>
      <c r="I15" s="150">
        <v>15</v>
      </c>
      <c r="J15" s="150">
        <v>20</v>
      </c>
      <c r="K15" s="150">
        <v>25</v>
      </c>
      <c r="L15" s="150">
        <v>25</v>
      </c>
      <c r="M15" s="150">
        <v>10</v>
      </c>
      <c r="N15" s="150">
        <f>IF(N$6=0,0,VLOOKUP($A15,[1]base!$A:$P,N$6+4,FALSE))</f>
        <v>0</v>
      </c>
      <c r="O15" s="150">
        <f>IF(O$6=0,0,VLOOKUP($A15,[1]base!$A:$P,O$6+4,FALSE))</f>
        <v>0</v>
      </c>
      <c r="P15" s="150">
        <f>IF(P$6=0,0,VLOOKUP($A15,[1]base!$A:$P,P$6+4,FALSE))</f>
        <v>0</v>
      </c>
      <c r="Q15" s="151">
        <f>IF(Q$6=0,0,VLOOKUP($A15,[1]base!$A:$P,Q$6+4,FALSE))</f>
        <v>0</v>
      </c>
      <c r="R15" s="152"/>
      <c r="S15" s="153">
        <f>resumo!H30</f>
        <v>51926.38</v>
      </c>
      <c r="T15" s="154">
        <f t="shared" si="3"/>
        <v>1.6442284918146988</v>
      </c>
      <c r="W15" s="72">
        <f t="shared" si="4"/>
        <v>100</v>
      </c>
    </row>
    <row r="16" spans="1:24" hidden="1" x14ac:dyDescent="0.2">
      <c r="A16" s="145" t="str">
        <f t="shared" si="5"/>
        <v>8|8</v>
      </c>
      <c r="B16" s="155" t="s">
        <v>126</v>
      </c>
      <c r="C16" s="147" t="s">
        <v>73</v>
      </c>
      <c r="D16" s="148"/>
      <c r="E16" s="149">
        <v>6</v>
      </c>
      <c r="F16" s="150">
        <v>0</v>
      </c>
      <c r="G16" s="150">
        <v>0</v>
      </c>
      <c r="H16" s="150">
        <v>0</v>
      </c>
      <c r="I16" s="150">
        <v>20</v>
      </c>
      <c r="J16" s="150">
        <v>20</v>
      </c>
      <c r="K16" s="150">
        <v>30</v>
      </c>
      <c r="L16" s="150">
        <v>20</v>
      </c>
      <c r="M16" s="150">
        <v>10</v>
      </c>
      <c r="N16" s="150">
        <f>IF(N$6=0,0,VLOOKUP($A16,[1]base!$A:$P,N$6+4,FALSE))</f>
        <v>0</v>
      </c>
      <c r="O16" s="150">
        <f>IF(O$6=0,0,VLOOKUP($A16,[1]base!$A:$P,O$6+4,FALSE))</f>
        <v>0</v>
      </c>
      <c r="P16" s="150">
        <f>IF(P$6=0,0,VLOOKUP($A16,[1]base!$A:$P,P$6+4,FALSE))</f>
        <v>0</v>
      </c>
      <c r="Q16" s="151">
        <f>IF(Q$6=0,0,VLOOKUP($A16,[1]base!$A:$P,Q$6+4,FALSE))</f>
        <v>0</v>
      </c>
      <c r="R16" s="152"/>
      <c r="S16" s="153"/>
      <c r="T16" s="154">
        <f t="shared" si="3"/>
        <v>0</v>
      </c>
      <c r="W16" s="72">
        <f t="shared" si="4"/>
        <v>100</v>
      </c>
    </row>
    <row r="17" spans="1:23" hidden="1" x14ac:dyDescent="0.2">
      <c r="A17" s="145" t="str">
        <f t="shared" si="5"/>
        <v>8|9</v>
      </c>
      <c r="B17" s="155" t="s">
        <v>127</v>
      </c>
      <c r="C17" s="147" t="s">
        <v>74</v>
      </c>
      <c r="D17" s="148"/>
      <c r="E17" s="149">
        <v>6</v>
      </c>
      <c r="F17" s="150">
        <v>5</v>
      </c>
      <c r="G17" s="150">
        <v>5</v>
      </c>
      <c r="H17" s="150">
        <v>10</v>
      </c>
      <c r="I17" s="150">
        <v>15</v>
      </c>
      <c r="J17" s="150">
        <v>20</v>
      </c>
      <c r="K17" s="150">
        <v>20</v>
      </c>
      <c r="L17" s="150">
        <v>15</v>
      </c>
      <c r="M17" s="150">
        <v>10</v>
      </c>
      <c r="N17" s="150">
        <f>IF(N$6=0,0,VLOOKUP($A17,[1]base!$A:$P,N$6+4,FALSE))</f>
        <v>0</v>
      </c>
      <c r="O17" s="150">
        <f>IF(O$6=0,0,VLOOKUP($A17,[1]base!$A:$P,O$6+4,FALSE))</f>
        <v>0</v>
      </c>
      <c r="P17" s="150">
        <f>IF(P$6=0,0,VLOOKUP($A17,[1]base!$A:$P,P$6+4,FALSE))</f>
        <v>0</v>
      </c>
      <c r="Q17" s="151">
        <f>IF(Q$6=0,0,VLOOKUP($A17,[1]base!$A:$P,Q$6+4,FALSE))</f>
        <v>0</v>
      </c>
      <c r="R17" s="152"/>
      <c r="S17" s="153"/>
      <c r="T17" s="154">
        <f t="shared" si="3"/>
        <v>0</v>
      </c>
      <c r="W17" s="72">
        <f t="shared" si="4"/>
        <v>100</v>
      </c>
    </row>
    <row r="18" spans="1:23" x14ac:dyDescent="0.2">
      <c r="A18" s="145" t="str">
        <f t="shared" si="5"/>
        <v>8|8</v>
      </c>
      <c r="B18" s="155" t="s">
        <v>126</v>
      </c>
      <c r="C18" s="147" t="s">
        <v>38</v>
      </c>
      <c r="D18" s="148"/>
      <c r="E18" s="149"/>
      <c r="F18" s="150">
        <v>15</v>
      </c>
      <c r="G18" s="150">
        <v>20</v>
      </c>
      <c r="H18" s="150">
        <v>20</v>
      </c>
      <c r="I18" s="150">
        <v>20</v>
      </c>
      <c r="J18" s="150">
        <v>15</v>
      </c>
      <c r="K18" s="150">
        <v>10</v>
      </c>
      <c r="L18" s="150">
        <v>0</v>
      </c>
      <c r="M18" s="150">
        <v>0</v>
      </c>
      <c r="N18" s="150">
        <f>IF(N$6=0,0,VLOOKUP($A18,[1]base!$A:$P,N$6+4,FALSE))</f>
        <v>0</v>
      </c>
      <c r="O18" s="150">
        <f>IF(O$6=0,0,VLOOKUP($A18,[1]base!$A:$P,O$6+4,FALSE))</f>
        <v>0</v>
      </c>
      <c r="P18" s="150">
        <f>IF(P$6=0,0,VLOOKUP($A18,[1]base!$A:$P,P$6+4,FALSE))</f>
        <v>0</v>
      </c>
      <c r="Q18" s="151">
        <f>IF(Q$6=0,0,VLOOKUP($A18,[1]base!$A:$P,Q$6+4,FALSE))</f>
        <v>0</v>
      </c>
      <c r="R18" s="152"/>
      <c r="S18" s="153">
        <f>resumo!H34</f>
        <v>632045.38</v>
      </c>
      <c r="T18" s="154">
        <f t="shared" si="3"/>
        <v>20.013469491149745</v>
      </c>
      <c r="W18" s="72">
        <f t="shared" si="4"/>
        <v>100</v>
      </c>
    </row>
    <row r="19" spans="1:23" x14ac:dyDescent="0.2">
      <c r="A19" s="145" t="str">
        <f t="shared" si="5"/>
        <v>8|9</v>
      </c>
      <c r="B19" s="155" t="s">
        <v>127</v>
      </c>
      <c r="C19" s="147" t="s">
        <v>63</v>
      </c>
      <c r="D19" s="148"/>
      <c r="E19" s="149"/>
      <c r="F19" s="150">
        <v>2</v>
      </c>
      <c r="G19" s="150">
        <v>2</v>
      </c>
      <c r="H19" s="150">
        <v>13</v>
      </c>
      <c r="I19" s="150">
        <v>15</v>
      </c>
      <c r="J19" s="150">
        <v>15</v>
      </c>
      <c r="K19" s="150">
        <v>22</v>
      </c>
      <c r="L19" s="150">
        <v>23</v>
      </c>
      <c r="M19" s="150">
        <v>8</v>
      </c>
      <c r="N19" s="150">
        <f>IF(N$6=0,0,VLOOKUP($A19,[1]base!$A:$P,N$6+4,FALSE))</f>
        <v>0</v>
      </c>
      <c r="O19" s="150">
        <f>IF(O$6=0,0,VLOOKUP($A19,[1]base!$A:$P,O$6+4,FALSE))</f>
        <v>0</v>
      </c>
      <c r="P19" s="150">
        <f>IF(P$6=0,0,VLOOKUP($A19,[1]base!$A:$P,P$6+4,FALSE))</f>
        <v>0</v>
      </c>
      <c r="Q19" s="151">
        <f>IF(Q$6=0,0,VLOOKUP($A19,[1]base!$A:$P,Q$6+4,FALSE))</f>
        <v>0</v>
      </c>
      <c r="R19" s="152"/>
      <c r="S19" s="153">
        <f>resumo!H47</f>
        <v>15364.86</v>
      </c>
      <c r="T19" s="154">
        <f t="shared" si="3"/>
        <v>0.48652227605205672</v>
      </c>
      <c r="W19" s="72">
        <f t="shared" si="4"/>
        <v>100</v>
      </c>
    </row>
    <row r="20" spans="1:23" ht="13.5" thickBot="1" x14ac:dyDescent="0.25">
      <c r="A20" s="72"/>
      <c r="B20" s="156"/>
      <c r="C20" s="157"/>
      <c r="D20" s="157"/>
      <c r="E20" s="157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9"/>
      <c r="T20" s="160"/>
    </row>
    <row r="21" spans="1:23" ht="14.25" thickTop="1" thickBot="1" x14ac:dyDescent="0.25">
      <c r="A21" s="72"/>
      <c r="B21" s="161"/>
      <c r="C21" s="162" t="s">
        <v>75</v>
      </c>
      <c r="D21" s="162" t="s">
        <v>75</v>
      </c>
      <c r="E21" s="163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5">
        <f>SUM(S9:S20)</f>
        <v>3158099.9999999995</v>
      </c>
      <c r="T21" s="166">
        <f>SUM(T9:T19)</f>
        <v>100.00000000000001</v>
      </c>
    </row>
    <row r="22" spans="1:23" ht="18.75" thickTop="1" x14ac:dyDescent="0.25">
      <c r="A22" s="72"/>
      <c r="B22" s="167" t="s">
        <v>150</v>
      </c>
      <c r="C22" s="168"/>
      <c r="D22" s="168"/>
      <c r="E22" s="168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70"/>
    </row>
    <row r="23" spans="1:23" ht="13.5" thickBot="1" x14ac:dyDescent="0.25">
      <c r="A23" s="72"/>
      <c r="B23" s="171" t="s">
        <v>71</v>
      </c>
      <c r="C23" s="172"/>
      <c r="D23" s="172"/>
      <c r="E23" s="172"/>
      <c r="F23" s="173" t="s">
        <v>76</v>
      </c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4"/>
      <c r="R23" s="128" t="s">
        <v>151</v>
      </c>
      <c r="S23" s="175" t="s">
        <v>44</v>
      </c>
      <c r="T23" s="176" t="s">
        <v>69</v>
      </c>
    </row>
    <row r="24" spans="1:23" ht="13.5" thickTop="1" x14ac:dyDescent="0.2">
      <c r="A24" s="72"/>
      <c r="B24" s="177"/>
      <c r="C24" s="178"/>
      <c r="D24" s="179"/>
      <c r="E24" s="179"/>
      <c r="F24" s="180">
        <f t="shared" ref="F24:Q24" si="6">F6</f>
        <v>1</v>
      </c>
      <c r="G24" s="180">
        <f t="shared" si="6"/>
        <v>2</v>
      </c>
      <c r="H24" s="180">
        <f t="shared" si="6"/>
        <v>3</v>
      </c>
      <c r="I24" s="180">
        <f t="shared" si="6"/>
        <v>4</v>
      </c>
      <c r="J24" s="180">
        <f t="shared" si="6"/>
        <v>5</v>
      </c>
      <c r="K24" s="180">
        <f t="shared" si="6"/>
        <v>6</v>
      </c>
      <c r="L24" s="180">
        <f t="shared" si="6"/>
        <v>7</v>
      </c>
      <c r="M24" s="180">
        <f t="shared" si="6"/>
        <v>8</v>
      </c>
      <c r="N24" s="180">
        <f t="shared" si="6"/>
        <v>0</v>
      </c>
      <c r="O24" s="180">
        <f t="shared" si="6"/>
        <v>0</v>
      </c>
      <c r="P24" s="180">
        <f t="shared" si="6"/>
        <v>0</v>
      </c>
      <c r="Q24" s="181">
        <f t="shared" si="6"/>
        <v>0</v>
      </c>
      <c r="R24" s="182" t="s">
        <v>152</v>
      </c>
      <c r="S24" s="183" t="s">
        <v>71</v>
      </c>
      <c r="T24" s="184" t="s">
        <v>71</v>
      </c>
    </row>
    <row r="25" spans="1:23" x14ac:dyDescent="0.2">
      <c r="A25" s="72"/>
      <c r="B25" s="185" t="s">
        <v>153</v>
      </c>
      <c r="C25" s="186" t="s">
        <v>39</v>
      </c>
      <c r="D25" s="187" t="s">
        <v>77</v>
      </c>
      <c r="E25" s="188" t="s">
        <v>78</v>
      </c>
      <c r="F25" s="189">
        <f t="shared" ref="F25:Q25" si="7">((F9/100)*$S$9)*$T$2</f>
        <v>650.60131091479059</v>
      </c>
      <c r="G25" s="189">
        <f t="shared" si="7"/>
        <v>867.46841455305412</v>
      </c>
      <c r="H25" s="189">
        <f t="shared" si="7"/>
        <v>1084.3355181913175</v>
      </c>
      <c r="I25" s="189">
        <f t="shared" si="7"/>
        <v>1084.3355181913175</v>
      </c>
      <c r="J25" s="189">
        <f t="shared" si="7"/>
        <v>433.73420727652706</v>
      </c>
      <c r="K25" s="189">
        <f t="shared" si="7"/>
        <v>216.86710363826353</v>
      </c>
      <c r="L25" s="189">
        <f t="shared" si="7"/>
        <v>0</v>
      </c>
      <c r="M25" s="189">
        <f t="shared" si="7"/>
        <v>0</v>
      </c>
      <c r="N25" s="189">
        <f t="shared" si="7"/>
        <v>0</v>
      </c>
      <c r="O25" s="189">
        <f t="shared" si="7"/>
        <v>0</v>
      </c>
      <c r="P25" s="189">
        <f t="shared" si="7"/>
        <v>0</v>
      </c>
      <c r="Q25" s="190">
        <f t="shared" si="7"/>
        <v>0</v>
      </c>
      <c r="R25" s="191">
        <f>COUNTIF(F25:Q25,"&gt;0")</f>
        <v>6</v>
      </c>
      <c r="S25" s="192">
        <f t="shared" ref="S25:S46" si="8">SUM(F25:Q25)</f>
        <v>4337.342072765271</v>
      </c>
      <c r="T25" s="193">
        <f t="shared" ref="T25:T46" si="9">IF($S$51=0,0,(S25/$S$51))</f>
        <v>1.37340238522063E-3</v>
      </c>
    </row>
    <row r="26" spans="1:23" x14ac:dyDescent="0.2">
      <c r="A26" s="72"/>
      <c r="B26" s="185" t="s">
        <v>154</v>
      </c>
      <c r="C26" s="194"/>
      <c r="D26" s="187" t="s">
        <v>79</v>
      </c>
      <c r="E26" s="188" t="s">
        <v>78</v>
      </c>
      <c r="F26" s="189">
        <f>((F9/100)*$S$9)*T3</f>
        <v>34.286689085209495</v>
      </c>
      <c r="G26" s="189">
        <f t="shared" ref="G26:Q26" si="10">((G9/100)*$S$9)*$T$3</f>
        <v>45.715585446945994</v>
      </c>
      <c r="H26" s="189">
        <f t="shared" si="10"/>
        <v>57.144481808682485</v>
      </c>
      <c r="I26" s="189">
        <f t="shared" si="10"/>
        <v>57.144481808682485</v>
      </c>
      <c r="J26" s="189">
        <f t="shared" si="10"/>
        <v>22.857792723472997</v>
      </c>
      <c r="K26" s="189">
        <f t="shared" si="10"/>
        <v>11.428896361736498</v>
      </c>
      <c r="L26" s="189">
        <f t="shared" si="10"/>
        <v>0</v>
      </c>
      <c r="M26" s="189">
        <f t="shared" si="10"/>
        <v>0</v>
      </c>
      <c r="N26" s="189">
        <f t="shared" si="10"/>
        <v>0</v>
      </c>
      <c r="O26" s="189">
        <f t="shared" si="10"/>
        <v>0</v>
      </c>
      <c r="P26" s="189">
        <f t="shared" si="10"/>
        <v>0</v>
      </c>
      <c r="Q26" s="190">
        <f t="shared" si="10"/>
        <v>0</v>
      </c>
      <c r="R26" s="195">
        <f t="shared" ref="R26:R46" si="11">COUNTIF(F26:Q26,"&gt;0")</f>
        <v>6</v>
      </c>
      <c r="S26" s="192">
        <f t="shared" si="8"/>
        <v>228.57792723472997</v>
      </c>
      <c r="T26" s="193">
        <f t="shared" si="9"/>
        <v>7.2378305701127258E-5</v>
      </c>
      <c r="U26" s="196"/>
    </row>
    <row r="27" spans="1:23" x14ac:dyDescent="0.2">
      <c r="A27" s="72"/>
      <c r="B27" s="185" t="s">
        <v>155</v>
      </c>
      <c r="C27" s="197" t="s">
        <v>35</v>
      </c>
      <c r="D27" s="188" t="s">
        <v>77</v>
      </c>
      <c r="E27" s="188" t="s">
        <v>78</v>
      </c>
      <c r="F27" s="189">
        <f t="shared" ref="F27:Q27" si="12">((F10/100)*$S$10)*$T$2</f>
        <v>15493.468224565402</v>
      </c>
      <c r="G27" s="189">
        <f t="shared" si="12"/>
        <v>20657.957632753871</v>
      </c>
      <c r="H27" s="189">
        <f t="shared" si="12"/>
        <v>25822.447040942337</v>
      </c>
      <c r="I27" s="189">
        <f t="shared" si="12"/>
        <v>25822.447040942337</v>
      </c>
      <c r="J27" s="189">
        <f t="shared" si="12"/>
        <v>10328.978816376935</v>
      </c>
      <c r="K27" s="189">
        <f t="shared" si="12"/>
        <v>5164.4894081884677</v>
      </c>
      <c r="L27" s="189">
        <f t="shared" si="12"/>
        <v>0</v>
      </c>
      <c r="M27" s="189">
        <f t="shared" si="12"/>
        <v>0</v>
      </c>
      <c r="N27" s="189">
        <f t="shared" si="12"/>
        <v>0</v>
      </c>
      <c r="O27" s="189">
        <f t="shared" si="12"/>
        <v>0</v>
      </c>
      <c r="P27" s="189">
        <f t="shared" si="12"/>
        <v>0</v>
      </c>
      <c r="Q27" s="190">
        <f t="shared" si="12"/>
        <v>0</v>
      </c>
      <c r="R27" s="195">
        <f t="shared" si="11"/>
        <v>6</v>
      </c>
      <c r="S27" s="192">
        <f t="shared" si="8"/>
        <v>103289.78816376935</v>
      </c>
      <c r="T27" s="193">
        <f t="shared" si="9"/>
        <v>3.2706307008571411E-2</v>
      </c>
    </row>
    <row r="28" spans="1:23" x14ac:dyDescent="0.2">
      <c r="A28" s="72"/>
      <c r="B28" s="185" t="s">
        <v>156</v>
      </c>
      <c r="C28" s="198"/>
      <c r="D28" s="188" t="s">
        <v>79</v>
      </c>
      <c r="E28" s="188" t="s">
        <v>78</v>
      </c>
      <c r="F28" s="189">
        <f t="shared" ref="F28:Q28" si="13">((F10/100)*$S$10)*$T$3</f>
        <v>816.50577543459747</v>
      </c>
      <c r="G28" s="189">
        <f t="shared" si="13"/>
        <v>1088.67436724613</v>
      </c>
      <c r="H28" s="189">
        <f t="shared" si="13"/>
        <v>1360.8429590576625</v>
      </c>
      <c r="I28" s="189">
        <f t="shared" si="13"/>
        <v>1360.8429590576625</v>
      </c>
      <c r="J28" s="189">
        <f t="shared" si="13"/>
        <v>544.33718362306502</v>
      </c>
      <c r="K28" s="189">
        <f t="shared" si="13"/>
        <v>272.16859181153251</v>
      </c>
      <c r="L28" s="189">
        <f t="shared" si="13"/>
        <v>0</v>
      </c>
      <c r="M28" s="189">
        <f t="shared" si="13"/>
        <v>0</v>
      </c>
      <c r="N28" s="189">
        <f t="shared" si="13"/>
        <v>0</v>
      </c>
      <c r="O28" s="189">
        <f t="shared" si="13"/>
        <v>0</v>
      </c>
      <c r="P28" s="189">
        <f t="shared" si="13"/>
        <v>0</v>
      </c>
      <c r="Q28" s="190">
        <f t="shared" si="13"/>
        <v>0</v>
      </c>
      <c r="R28" s="195">
        <f t="shared" si="11"/>
        <v>6</v>
      </c>
      <c r="S28" s="192">
        <f t="shared" si="8"/>
        <v>5443.3718362306499</v>
      </c>
      <c r="T28" s="193">
        <f t="shared" si="9"/>
        <v>1.7236223793517149E-3</v>
      </c>
      <c r="U28" s="196"/>
    </row>
    <row r="29" spans="1:23" x14ac:dyDescent="0.2">
      <c r="A29" s="72"/>
      <c r="B29" s="185" t="s">
        <v>157</v>
      </c>
      <c r="C29" s="197" t="s">
        <v>40</v>
      </c>
      <c r="D29" s="188" t="s">
        <v>77</v>
      </c>
      <c r="E29" s="188" t="s">
        <v>78</v>
      </c>
      <c r="F29" s="189">
        <f t="shared" ref="F29:Q29" si="14">((F11/100)*$S$11)*$T$2</f>
        <v>43639.458535195212</v>
      </c>
      <c r="G29" s="189">
        <f t="shared" si="14"/>
        <v>87278.917070390424</v>
      </c>
      <c r="H29" s="189">
        <f t="shared" si="14"/>
        <v>130918.37560558561</v>
      </c>
      <c r="I29" s="189">
        <f t="shared" si="14"/>
        <v>174557.83414078085</v>
      </c>
      <c r="J29" s="189">
        <f t="shared" si="14"/>
        <v>174557.83414078085</v>
      </c>
      <c r="K29" s="189">
        <f t="shared" si="14"/>
        <v>174557.83414078085</v>
      </c>
      <c r="L29" s="189">
        <f t="shared" si="14"/>
        <v>87278.917070390424</v>
      </c>
      <c r="M29" s="189">
        <f t="shared" si="14"/>
        <v>0</v>
      </c>
      <c r="N29" s="189">
        <f t="shared" si="14"/>
        <v>0</v>
      </c>
      <c r="O29" s="189">
        <f t="shared" si="14"/>
        <v>0</v>
      </c>
      <c r="P29" s="189">
        <f t="shared" si="14"/>
        <v>0</v>
      </c>
      <c r="Q29" s="190">
        <f t="shared" si="14"/>
        <v>0</v>
      </c>
      <c r="R29" s="195">
        <f t="shared" si="11"/>
        <v>7</v>
      </c>
      <c r="S29" s="192">
        <f t="shared" si="8"/>
        <v>872789.17070390424</v>
      </c>
      <c r="T29" s="193">
        <f t="shared" si="9"/>
        <v>0.27636527364678265</v>
      </c>
    </row>
    <row r="30" spans="1:23" x14ac:dyDescent="0.2">
      <c r="A30" s="72"/>
      <c r="B30" s="185" t="s">
        <v>158</v>
      </c>
      <c r="C30" s="198"/>
      <c r="D30" s="188" t="s">
        <v>79</v>
      </c>
      <c r="E30" s="188" t="s">
        <v>78</v>
      </c>
      <c r="F30" s="189">
        <f t="shared" ref="F30:Q30" si="15">((F11/100)*$S$11)*$T$3</f>
        <v>2299.7994648047897</v>
      </c>
      <c r="G30" s="189">
        <f t="shared" si="15"/>
        <v>4599.5989296095795</v>
      </c>
      <c r="H30" s="189">
        <f t="shared" si="15"/>
        <v>6899.3983944143674</v>
      </c>
      <c r="I30" s="189">
        <f t="shared" si="15"/>
        <v>9199.197859219159</v>
      </c>
      <c r="J30" s="189">
        <f t="shared" si="15"/>
        <v>9199.197859219159</v>
      </c>
      <c r="K30" s="189">
        <f t="shared" si="15"/>
        <v>9199.197859219159</v>
      </c>
      <c r="L30" s="189">
        <f t="shared" si="15"/>
        <v>4599.5989296095795</v>
      </c>
      <c r="M30" s="189">
        <f t="shared" si="15"/>
        <v>0</v>
      </c>
      <c r="N30" s="189">
        <f t="shared" si="15"/>
        <v>0</v>
      </c>
      <c r="O30" s="189">
        <f t="shared" si="15"/>
        <v>0</v>
      </c>
      <c r="P30" s="189">
        <f t="shared" si="15"/>
        <v>0</v>
      </c>
      <c r="Q30" s="190">
        <f t="shared" si="15"/>
        <v>0</v>
      </c>
      <c r="R30" s="195">
        <f t="shared" si="11"/>
        <v>7</v>
      </c>
      <c r="S30" s="192">
        <f t="shared" si="8"/>
        <v>45995.989296095795</v>
      </c>
      <c r="T30" s="193">
        <f t="shared" si="9"/>
        <v>1.456444992118546E-2</v>
      </c>
      <c r="U30" s="196"/>
    </row>
    <row r="31" spans="1:23" x14ac:dyDescent="0.2">
      <c r="A31" s="72"/>
      <c r="B31" s="185" t="s">
        <v>159</v>
      </c>
      <c r="C31" s="197" t="s">
        <v>36</v>
      </c>
      <c r="D31" s="188" t="s">
        <v>77</v>
      </c>
      <c r="E31" s="188" t="s">
        <v>78</v>
      </c>
      <c r="F31" s="189">
        <f>((F12/100)*$S$12)*T2</f>
        <v>0</v>
      </c>
      <c r="G31" s="189">
        <f t="shared" ref="G31:Q31" si="16">((G12/100)*$S$12)*$T$2</f>
        <v>0</v>
      </c>
      <c r="H31" s="189">
        <f t="shared" si="16"/>
        <v>79622.405243659159</v>
      </c>
      <c r="I31" s="189">
        <f t="shared" si="16"/>
        <v>199056.01310914787</v>
      </c>
      <c r="J31" s="189">
        <f t="shared" si="16"/>
        <v>199056.01310914787</v>
      </c>
      <c r="K31" s="189">
        <f t="shared" si="16"/>
        <v>159244.81048731832</v>
      </c>
      <c r="L31" s="189">
        <f t="shared" si="16"/>
        <v>79622.405243659159</v>
      </c>
      <c r="M31" s="189">
        <f t="shared" si="16"/>
        <v>79622.405243659159</v>
      </c>
      <c r="N31" s="189">
        <f t="shared" si="16"/>
        <v>0</v>
      </c>
      <c r="O31" s="189">
        <f t="shared" si="16"/>
        <v>0</v>
      </c>
      <c r="P31" s="189">
        <f t="shared" si="16"/>
        <v>0</v>
      </c>
      <c r="Q31" s="190">
        <f t="shared" si="16"/>
        <v>0</v>
      </c>
      <c r="R31" s="195">
        <f t="shared" si="11"/>
        <v>6</v>
      </c>
      <c r="S31" s="192">
        <f t="shared" si="8"/>
        <v>796224.05243659159</v>
      </c>
      <c r="T31" s="193">
        <f t="shared" si="9"/>
        <v>0.2521212287250536</v>
      </c>
    </row>
    <row r="32" spans="1:23" x14ac:dyDescent="0.2">
      <c r="A32" s="72"/>
      <c r="B32" s="185" t="s">
        <v>160</v>
      </c>
      <c r="C32" s="198"/>
      <c r="D32" s="188" t="s">
        <v>79</v>
      </c>
      <c r="E32" s="188" t="s">
        <v>78</v>
      </c>
      <c r="F32" s="189">
        <f t="shared" ref="F32:Q32" si="17">((F12/100)*$S$12)*$T$3</f>
        <v>0</v>
      </c>
      <c r="G32" s="189">
        <f t="shared" si="17"/>
        <v>0</v>
      </c>
      <c r="H32" s="189">
        <f t="shared" si="17"/>
        <v>4196.1007563408411</v>
      </c>
      <c r="I32" s="189">
        <f t="shared" si="17"/>
        <v>10490.251890852103</v>
      </c>
      <c r="J32" s="189">
        <f t="shared" si="17"/>
        <v>10490.251890852103</v>
      </c>
      <c r="K32" s="189">
        <f t="shared" si="17"/>
        <v>8392.2015126816823</v>
      </c>
      <c r="L32" s="189">
        <f t="shared" si="17"/>
        <v>4196.1007563408411</v>
      </c>
      <c r="M32" s="189">
        <f t="shared" si="17"/>
        <v>4196.1007563408411</v>
      </c>
      <c r="N32" s="189">
        <f t="shared" si="17"/>
        <v>0</v>
      </c>
      <c r="O32" s="189">
        <f t="shared" si="17"/>
        <v>0</v>
      </c>
      <c r="P32" s="189">
        <f t="shared" si="17"/>
        <v>0</v>
      </c>
      <c r="Q32" s="190">
        <f t="shared" si="17"/>
        <v>0</v>
      </c>
      <c r="R32" s="195">
        <f t="shared" si="11"/>
        <v>6</v>
      </c>
      <c r="S32" s="192">
        <f t="shared" si="8"/>
        <v>41961.007563408413</v>
      </c>
      <c r="T32" s="193">
        <f t="shared" si="9"/>
        <v>1.3286788753810334E-2</v>
      </c>
      <c r="U32" s="196"/>
    </row>
    <row r="33" spans="1:21" x14ac:dyDescent="0.2">
      <c r="A33" s="72"/>
      <c r="B33" s="185" t="s">
        <v>161</v>
      </c>
      <c r="C33" s="197" t="s">
        <v>37</v>
      </c>
      <c r="D33" s="188" t="s">
        <v>77</v>
      </c>
      <c r="E33" s="188" t="s">
        <v>78</v>
      </c>
      <c r="F33" s="189">
        <f t="shared" ref="F33:Q33" si="18">((F13/100)*$S$13)*$T$2</f>
        <v>0</v>
      </c>
      <c r="G33" s="189">
        <f t="shared" si="18"/>
        <v>10408.812102213356</v>
      </c>
      <c r="H33" s="189">
        <f t="shared" si="18"/>
        <v>31226.436306640066</v>
      </c>
      <c r="I33" s="189">
        <f t="shared" si="18"/>
        <v>52044.060511066782</v>
      </c>
      <c r="J33" s="189">
        <f t="shared" si="18"/>
        <v>52044.060511066782</v>
      </c>
      <c r="K33" s="189">
        <f t="shared" si="18"/>
        <v>31226.436306640066</v>
      </c>
      <c r="L33" s="189">
        <f t="shared" si="18"/>
        <v>31226.436306640066</v>
      </c>
      <c r="M33" s="189">
        <f t="shared" si="18"/>
        <v>0</v>
      </c>
      <c r="N33" s="189">
        <f t="shared" si="18"/>
        <v>0</v>
      </c>
      <c r="O33" s="189">
        <f t="shared" si="18"/>
        <v>0</v>
      </c>
      <c r="P33" s="189">
        <f t="shared" si="18"/>
        <v>0</v>
      </c>
      <c r="Q33" s="190">
        <f t="shared" si="18"/>
        <v>0</v>
      </c>
      <c r="R33" s="195">
        <f t="shared" si="11"/>
        <v>6</v>
      </c>
      <c r="S33" s="192">
        <f t="shared" si="8"/>
        <v>208176.24204426713</v>
      </c>
      <c r="T33" s="193">
        <f t="shared" si="9"/>
        <v>6.5918191964873557E-2</v>
      </c>
    </row>
    <row r="34" spans="1:21" x14ac:dyDescent="0.2">
      <c r="A34" s="72"/>
      <c r="B34" s="185" t="s">
        <v>162</v>
      </c>
      <c r="C34" s="198"/>
      <c r="D34" s="188" t="s">
        <v>79</v>
      </c>
      <c r="E34" s="188" t="s">
        <v>78</v>
      </c>
      <c r="F34" s="189">
        <f t="shared" ref="F34:Q34" si="19">((F13/100)*$S$13)*$T$3</f>
        <v>0</v>
      </c>
      <c r="G34" s="189">
        <f t="shared" si="19"/>
        <v>548.54439778664437</v>
      </c>
      <c r="H34" s="189">
        <f t="shared" si="19"/>
        <v>1645.6331933599329</v>
      </c>
      <c r="I34" s="189">
        <f t="shared" si="19"/>
        <v>2742.7219889332218</v>
      </c>
      <c r="J34" s="189">
        <f t="shared" si="19"/>
        <v>2742.7219889332218</v>
      </c>
      <c r="K34" s="189">
        <f t="shared" si="19"/>
        <v>1645.6331933599329</v>
      </c>
      <c r="L34" s="189">
        <f t="shared" si="19"/>
        <v>1645.6331933599329</v>
      </c>
      <c r="M34" s="189">
        <f t="shared" si="19"/>
        <v>0</v>
      </c>
      <c r="N34" s="189">
        <f t="shared" si="19"/>
        <v>0</v>
      </c>
      <c r="O34" s="189">
        <f t="shared" si="19"/>
        <v>0</v>
      </c>
      <c r="P34" s="189">
        <f t="shared" si="19"/>
        <v>0</v>
      </c>
      <c r="Q34" s="190">
        <f t="shared" si="19"/>
        <v>0</v>
      </c>
      <c r="R34" s="195">
        <f t="shared" si="11"/>
        <v>6</v>
      </c>
      <c r="S34" s="192">
        <f t="shared" si="8"/>
        <v>10970.887955732886</v>
      </c>
      <c r="T34" s="193">
        <f t="shared" si="9"/>
        <v>3.4738887165488386E-3</v>
      </c>
      <c r="U34" s="196"/>
    </row>
    <row r="35" spans="1:21" x14ac:dyDescent="0.2">
      <c r="A35" s="72"/>
      <c r="B35" s="185" t="s">
        <v>163</v>
      </c>
      <c r="C35" s="197" t="s">
        <v>41</v>
      </c>
      <c r="D35" s="188" t="s">
        <v>77</v>
      </c>
      <c r="E35" s="188" t="s">
        <v>78</v>
      </c>
      <c r="F35" s="189">
        <f t="shared" ref="F35:Q35" si="20">((F14/100)*$S$14)*$T$2</f>
        <v>0</v>
      </c>
      <c r="G35" s="189">
        <f t="shared" si="20"/>
        <v>0</v>
      </c>
      <c r="H35" s="189">
        <f t="shared" si="20"/>
        <v>17542.839840410375</v>
      </c>
      <c r="I35" s="189">
        <f t="shared" si="20"/>
        <v>70171.359361641502</v>
      </c>
      <c r="J35" s="189">
        <f t="shared" si="20"/>
        <v>70171.359361641502</v>
      </c>
      <c r="K35" s="189">
        <f t="shared" si="20"/>
        <v>87714.199202051881</v>
      </c>
      <c r="L35" s="189">
        <f t="shared" si="20"/>
        <v>70171.359361641502</v>
      </c>
      <c r="M35" s="189">
        <f t="shared" si="20"/>
        <v>35085.679680820751</v>
      </c>
      <c r="N35" s="189">
        <f t="shared" si="20"/>
        <v>0</v>
      </c>
      <c r="O35" s="189">
        <f t="shared" si="20"/>
        <v>0</v>
      </c>
      <c r="P35" s="189">
        <f t="shared" si="20"/>
        <v>0</v>
      </c>
      <c r="Q35" s="190">
        <f t="shared" si="20"/>
        <v>0</v>
      </c>
      <c r="R35" s="195">
        <f t="shared" si="11"/>
        <v>6</v>
      </c>
      <c r="S35" s="192">
        <f t="shared" si="8"/>
        <v>350856.79680820747</v>
      </c>
      <c r="T35" s="193">
        <f t="shared" si="9"/>
        <v>0.11109743098958473</v>
      </c>
    </row>
    <row r="36" spans="1:21" x14ac:dyDescent="0.2">
      <c r="A36" s="72"/>
      <c r="B36" s="185" t="s">
        <v>164</v>
      </c>
      <c r="C36" s="198"/>
      <c r="D36" s="188" t="s">
        <v>79</v>
      </c>
      <c r="E36" s="188" t="s">
        <v>78</v>
      </c>
      <c r="F36" s="189">
        <f t="shared" ref="F36:Q36" si="21">((F14/100)*$S$14)*$T$3</f>
        <v>0</v>
      </c>
      <c r="G36" s="189">
        <f t="shared" si="21"/>
        <v>0</v>
      </c>
      <c r="H36" s="189">
        <f t="shared" si="21"/>
        <v>924.50765958962768</v>
      </c>
      <c r="I36" s="189">
        <f t="shared" si="21"/>
        <v>3698.0306383585107</v>
      </c>
      <c r="J36" s="189">
        <f t="shared" si="21"/>
        <v>3698.0306383585107</v>
      </c>
      <c r="K36" s="189">
        <f t="shared" si="21"/>
        <v>4622.5382979481383</v>
      </c>
      <c r="L36" s="189">
        <f t="shared" si="21"/>
        <v>3698.0306383585107</v>
      </c>
      <c r="M36" s="189">
        <f t="shared" si="21"/>
        <v>1849.0153191792554</v>
      </c>
      <c r="N36" s="189">
        <f t="shared" si="21"/>
        <v>0</v>
      </c>
      <c r="O36" s="189">
        <f t="shared" si="21"/>
        <v>0</v>
      </c>
      <c r="P36" s="189">
        <f t="shared" si="21"/>
        <v>0</v>
      </c>
      <c r="Q36" s="190">
        <f t="shared" si="21"/>
        <v>0</v>
      </c>
      <c r="R36" s="195">
        <f t="shared" si="11"/>
        <v>6</v>
      </c>
      <c r="S36" s="192">
        <f t="shared" si="8"/>
        <v>18490.153191792553</v>
      </c>
      <c r="T36" s="193">
        <f t="shared" si="9"/>
        <v>5.8548346131511216E-3</v>
      </c>
      <c r="U36" s="196"/>
    </row>
    <row r="37" spans="1:21" x14ac:dyDescent="0.2">
      <c r="A37" s="72"/>
      <c r="B37" s="185" t="s">
        <v>165</v>
      </c>
      <c r="C37" s="197" t="s">
        <v>42</v>
      </c>
      <c r="D37" s="188" t="s">
        <v>77</v>
      </c>
      <c r="E37" s="188" t="s">
        <v>78</v>
      </c>
      <c r="F37" s="189">
        <f t="shared" ref="F37:Q37" si="22">((F15/100)*$S$15)*$T$2</f>
        <v>0</v>
      </c>
      <c r="G37" s="189">
        <f t="shared" si="22"/>
        <v>0</v>
      </c>
      <c r="H37" s="189">
        <f t="shared" si="22"/>
        <v>2466.3427377220478</v>
      </c>
      <c r="I37" s="189">
        <f t="shared" si="22"/>
        <v>7399.0282131661434</v>
      </c>
      <c r="J37" s="189">
        <f t="shared" si="22"/>
        <v>9865.3709508881911</v>
      </c>
      <c r="K37" s="189">
        <f t="shared" si="22"/>
        <v>12331.71368861024</v>
      </c>
      <c r="L37" s="189">
        <f t="shared" si="22"/>
        <v>12331.71368861024</v>
      </c>
      <c r="M37" s="189">
        <f t="shared" si="22"/>
        <v>4932.6854754440956</v>
      </c>
      <c r="N37" s="189">
        <f t="shared" si="22"/>
        <v>0</v>
      </c>
      <c r="O37" s="189">
        <f t="shared" si="22"/>
        <v>0</v>
      </c>
      <c r="P37" s="189">
        <f t="shared" si="22"/>
        <v>0</v>
      </c>
      <c r="Q37" s="190">
        <f t="shared" si="22"/>
        <v>0</v>
      </c>
      <c r="R37" s="195">
        <f t="shared" si="11"/>
        <v>6</v>
      </c>
      <c r="S37" s="192">
        <f t="shared" si="8"/>
        <v>49326.854754440952</v>
      </c>
      <c r="T37" s="193">
        <f t="shared" si="9"/>
        <v>1.5619155427136874E-2</v>
      </c>
    </row>
    <row r="38" spans="1:21" x14ac:dyDescent="0.2">
      <c r="A38" s="72"/>
      <c r="B38" s="185" t="s">
        <v>166</v>
      </c>
      <c r="C38" s="198"/>
      <c r="D38" s="188" t="s">
        <v>79</v>
      </c>
      <c r="E38" s="188" t="s">
        <v>78</v>
      </c>
      <c r="F38" s="189">
        <f t="shared" ref="F38:Q38" si="23">((F15/100)*$S$15)*$T$3</f>
        <v>0</v>
      </c>
      <c r="G38" s="189">
        <f t="shared" si="23"/>
        <v>0</v>
      </c>
      <c r="H38" s="189">
        <f t="shared" si="23"/>
        <v>129.97626227795203</v>
      </c>
      <c r="I38" s="189">
        <f t="shared" si="23"/>
        <v>389.92878683385612</v>
      </c>
      <c r="J38" s="189">
        <f t="shared" si="23"/>
        <v>519.90504911180813</v>
      </c>
      <c r="K38" s="189">
        <f t="shared" si="23"/>
        <v>649.88131138976019</v>
      </c>
      <c r="L38" s="189">
        <f t="shared" si="23"/>
        <v>649.88131138976019</v>
      </c>
      <c r="M38" s="189">
        <f t="shared" si="23"/>
        <v>259.95252455590406</v>
      </c>
      <c r="N38" s="189">
        <f t="shared" si="23"/>
        <v>0</v>
      </c>
      <c r="O38" s="189">
        <f t="shared" si="23"/>
        <v>0</v>
      </c>
      <c r="P38" s="189">
        <f t="shared" si="23"/>
        <v>0</v>
      </c>
      <c r="Q38" s="190">
        <f t="shared" si="23"/>
        <v>0</v>
      </c>
      <c r="R38" s="195">
        <f t="shared" si="11"/>
        <v>6</v>
      </c>
      <c r="S38" s="192">
        <f t="shared" si="8"/>
        <v>2599.5252455590403</v>
      </c>
      <c r="T38" s="193">
        <f t="shared" si="9"/>
        <v>8.2312949101011389E-4</v>
      </c>
      <c r="U38" s="196"/>
    </row>
    <row r="39" spans="1:21" hidden="1" x14ac:dyDescent="0.2">
      <c r="A39" s="72"/>
      <c r="B39" s="185" t="s">
        <v>167</v>
      </c>
      <c r="C39" s="197" t="s">
        <v>73</v>
      </c>
      <c r="D39" s="188" t="s">
        <v>77</v>
      </c>
      <c r="E39" s="188" t="s">
        <v>78</v>
      </c>
      <c r="F39" s="189">
        <f t="shared" ref="F39:Q39" si="24">((F16/100)*$S$16)*$T$2</f>
        <v>0</v>
      </c>
      <c r="G39" s="189">
        <f t="shared" si="24"/>
        <v>0</v>
      </c>
      <c r="H39" s="189">
        <f t="shared" si="24"/>
        <v>0</v>
      </c>
      <c r="I39" s="189">
        <f t="shared" si="24"/>
        <v>0</v>
      </c>
      <c r="J39" s="189">
        <f t="shared" si="24"/>
        <v>0</v>
      </c>
      <c r="K39" s="189">
        <f t="shared" si="24"/>
        <v>0</v>
      </c>
      <c r="L39" s="189">
        <f t="shared" si="24"/>
        <v>0</v>
      </c>
      <c r="M39" s="189">
        <f t="shared" si="24"/>
        <v>0</v>
      </c>
      <c r="N39" s="189">
        <f t="shared" si="24"/>
        <v>0</v>
      </c>
      <c r="O39" s="189">
        <f t="shared" si="24"/>
        <v>0</v>
      </c>
      <c r="P39" s="189">
        <f t="shared" si="24"/>
        <v>0</v>
      </c>
      <c r="Q39" s="190">
        <f t="shared" si="24"/>
        <v>0</v>
      </c>
      <c r="R39" s="195">
        <f t="shared" si="11"/>
        <v>0</v>
      </c>
      <c r="S39" s="192">
        <f t="shared" si="8"/>
        <v>0</v>
      </c>
      <c r="T39" s="193">
        <f t="shared" si="9"/>
        <v>0</v>
      </c>
    </row>
    <row r="40" spans="1:21" hidden="1" x14ac:dyDescent="0.2">
      <c r="A40" s="72"/>
      <c r="B40" s="185" t="s">
        <v>168</v>
      </c>
      <c r="C40" s="198"/>
      <c r="D40" s="188" t="s">
        <v>79</v>
      </c>
      <c r="E40" s="188" t="s">
        <v>78</v>
      </c>
      <c r="F40" s="189">
        <f t="shared" ref="F40:Q40" si="25">((F16/100)*$S$16)*$T$3</f>
        <v>0</v>
      </c>
      <c r="G40" s="189">
        <f t="shared" si="25"/>
        <v>0</v>
      </c>
      <c r="H40" s="189">
        <f t="shared" si="25"/>
        <v>0</v>
      </c>
      <c r="I40" s="189">
        <f t="shared" si="25"/>
        <v>0</v>
      </c>
      <c r="J40" s="189">
        <f t="shared" si="25"/>
        <v>0</v>
      </c>
      <c r="K40" s="189">
        <f t="shared" si="25"/>
        <v>0</v>
      </c>
      <c r="L40" s="189">
        <f t="shared" si="25"/>
        <v>0</v>
      </c>
      <c r="M40" s="189">
        <f t="shared" si="25"/>
        <v>0</v>
      </c>
      <c r="N40" s="189">
        <f t="shared" si="25"/>
        <v>0</v>
      </c>
      <c r="O40" s="189">
        <f t="shared" si="25"/>
        <v>0</v>
      </c>
      <c r="P40" s="189">
        <f t="shared" si="25"/>
        <v>0</v>
      </c>
      <c r="Q40" s="190">
        <f t="shared" si="25"/>
        <v>0</v>
      </c>
      <c r="R40" s="195">
        <f t="shared" si="11"/>
        <v>0</v>
      </c>
      <c r="S40" s="192">
        <f t="shared" si="8"/>
        <v>0</v>
      </c>
      <c r="T40" s="193">
        <f t="shared" si="9"/>
        <v>0</v>
      </c>
      <c r="U40" s="196"/>
    </row>
    <row r="41" spans="1:21" hidden="1" x14ac:dyDescent="0.2">
      <c r="A41" s="72"/>
      <c r="B41" s="185" t="s">
        <v>169</v>
      </c>
      <c r="C41" s="197" t="s">
        <v>74</v>
      </c>
      <c r="D41" s="188" t="s">
        <v>77</v>
      </c>
      <c r="E41" s="188" t="s">
        <v>78</v>
      </c>
      <c r="F41" s="189">
        <f t="shared" ref="F41:Q41" si="26">((F17/100)*$S$17)*$T$2</f>
        <v>0</v>
      </c>
      <c r="G41" s="189">
        <f t="shared" si="26"/>
        <v>0</v>
      </c>
      <c r="H41" s="189">
        <f t="shared" si="26"/>
        <v>0</v>
      </c>
      <c r="I41" s="189">
        <f t="shared" si="26"/>
        <v>0</v>
      </c>
      <c r="J41" s="189">
        <f t="shared" si="26"/>
        <v>0</v>
      </c>
      <c r="K41" s="189">
        <f t="shared" si="26"/>
        <v>0</v>
      </c>
      <c r="L41" s="189">
        <f t="shared" si="26"/>
        <v>0</v>
      </c>
      <c r="M41" s="189">
        <f t="shared" si="26"/>
        <v>0</v>
      </c>
      <c r="N41" s="189">
        <f t="shared" si="26"/>
        <v>0</v>
      </c>
      <c r="O41" s="189">
        <f t="shared" si="26"/>
        <v>0</v>
      </c>
      <c r="P41" s="189">
        <f t="shared" si="26"/>
        <v>0</v>
      </c>
      <c r="Q41" s="190">
        <f t="shared" si="26"/>
        <v>0</v>
      </c>
      <c r="R41" s="195">
        <f t="shared" si="11"/>
        <v>0</v>
      </c>
      <c r="S41" s="192">
        <f t="shared" si="8"/>
        <v>0</v>
      </c>
      <c r="T41" s="193">
        <f t="shared" si="9"/>
        <v>0</v>
      </c>
    </row>
    <row r="42" spans="1:21" hidden="1" x14ac:dyDescent="0.2">
      <c r="A42" s="72"/>
      <c r="B42" s="185" t="s">
        <v>170</v>
      </c>
      <c r="C42" s="198"/>
      <c r="D42" s="188" t="s">
        <v>79</v>
      </c>
      <c r="E42" s="188" t="s">
        <v>78</v>
      </c>
      <c r="F42" s="189">
        <f t="shared" ref="F42:Q42" si="27">((F17/100)*$S$17)*$T$3</f>
        <v>0</v>
      </c>
      <c r="G42" s="189">
        <f t="shared" si="27"/>
        <v>0</v>
      </c>
      <c r="H42" s="189">
        <f t="shared" si="27"/>
        <v>0</v>
      </c>
      <c r="I42" s="189">
        <f t="shared" si="27"/>
        <v>0</v>
      </c>
      <c r="J42" s="189">
        <f t="shared" si="27"/>
        <v>0</v>
      </c>
      <c r="K42" s="189">
        <f t="shared" si="27"/>
        <v>0</v>
      </c>
      <c r="L42" s="189">
        <f t="shared" si="27"/>
        <v>0</v>
      </c>
      <c r="M42" s="189">
        <f t="shared" si="27"/>
        <v>0</v>
      </c>
      <c r="N42" s="189">
        <f t="shared" si="27"/>
        <v>0</v>
      </c>
      <c r="O42" s="189">
        <f t="shared" si="27"/>
        <v>0</v>
      </c>
      <c r="P42" s="189">
        <f t="shared" si="27"/>
        <v>0</v>
      </c>
      <c r="Q42" s="190">
        <f t="shared" si="27"/>
        <v>0</v>
      </c>
      <c r="R42" s="195">
        <f t="shared" si="11"/>
        <v>0</v>
      </c>
      <c r="S42" s="192">
        <f t="shared" si="8"/>
        <v>0</v>
      </c>
      <c r="T42" s="193">
        <f t="shared" si="9"/>
        <v>0</v>
      </c>
      <c r="U42" s="196"/>
    </row>
    <row r="43" spans="1:21" x14ac:dyDescent="0.2">
      <c r="A43" s="72"/>
      <c r="B43" s="185" t="s">
        <v>167</v>
      </c>
      <c r="C43" s="197" t="s">
        <v>38</v>
      </c>
      <c r="D43" s="188" t="s">
        <v>77</v>
      </c>
      <c r="E43" s="188" t="s">
        <v>78</v>
      </c>
      <c r="F43" s="189">
        <f t="shared" ref="F43:Q43" si="28">((F18/100)*$S$18)*$T$2</f>
        <v>90060.612710173838</v>
      </c>
      <c r="G43" s="189">
        <f t="shared" si="28"/>
        <v>120080.81694689844</v>
      </c>
      <c r="H43" s="189">
        <f t="shared" si="28"/>
        <v>120080.81694689844</v>
      </c>
      <c r="I43" s="189">
        <f t="shared" si="28"/>
        <v>120080.81694689844</v>
      </c>
      <c r="J43" s="189">
        <f t="shared" si="28"/>
        <v>90060.612710173838</v>
      </c>
      <c r="K43" s="189">
        <f t="shared" si="28"/>
        <v>60040.408473449221</v>
      </c>
      <c r="L43" s="189">
        <f t="shared" si="28"/>
        <v>0</v>
      </c>
      <c r="M43" s="189">
        <f t="shared" si="28"/>
        <v>0</v>
      </c>
      <c r="N43" s="189">
        <f t="shared" si="28"/>
        <v>0</v>
      </c>
      <c r="O43" s="189">
        <f t="shared" si="28"/>
        <v>0</v>
      </c>
      <c r="P43" s="189">
        <f t="shared" si="28"/>
        <v>0</v>
      </c>
      <c r="Q43" s="190">
        <f t="shared" si="28"/>
        <v>0</v>
      </c>
      <c r="R43" s="195">
        <f t="shared" si="11"/>
        <v>6</v>
      </c>
      <c r="S43" s="192">
        <f t="shared" si="8"/>
        <v>600404.08473449224</v>
      </c>
      <c r="T43" s="193">
        <f t="shared" si="9"/>
        <v>0.1901156026517502</v>
      </c>
    </row>
    <row r="44" spans="1:21" x14ac:dyDescent="0.2">
      <c r="A44" s="72"/>
      <c r="B44" s="185" t="s">
        <v>168</v>
      </c>
      <c r="C44" s="198"/>
      <c r="D44" s="188" t="s">
        <v>79</v>
      </c>
      <c r="E44" s="188" t="s">
        <v>78</v>
      </c>
      <c r="F44" s="189">
        <f t="shared" ref="F44:Q44" si="29">((F18/100)*$S$18)*$T$3</f>
        <v>4746.194289826165</v>
      </c>
      <c r="G44" s="189">
        <f t="shared" si="29"/>
        <v>6328.2590531015539</v>
      </c>
      <c r="H44" s="189">
        <f t="shared" si="29"/>
        <v>6328.2590531015539</v>
      </c>
      <c r="I44" s="189">
        <f t="shared" si="29"/>
        <v>6328.2590531015539</v>
      </c>
      <c r="J44" s="189">
        <f t="shared" si="29"/>
        <v>4746.194289826165</v>
      </c>
      <c r="K44" s="189">
        <f t="shared" si="29"/>
        <v>3164.129526550777</v>
      </c>
      <c r="L44" s="189">
        <f t="shared" si="29"/>
        <v>0</v>
      </c>
      <c r="M44" s="189">
        <f t="shared" si="29"/>
        <v>0</v>
      </c>
      <c r="N44" s="189">
        <f t="shared" si="29"/>
        <v>0</v>
      </c>
      <c r="O44" s="189">
        <f t="shared" si="29"/>
        <v>0</v>
      </c>
      <c r="P44" s="189">
        <f t="shared" si="29"/>
        <v>0</v>
      </c>
      <c r="Q44" s="190">
        <f t="shared" si="29"/>
        <v>0</v>
      </c>
      <c r="R44" s="195">
        <f t="shared" si="11"/>
        <v>6</v>
      </c>
      <c r="S44" s="192">
        <f t="shared" si="8"/>
        <v>31641.295265507768</v>
      </c>
      <c r="T44" s="193">
        <f t="shared" si="9"/>
        <v>1.0019092259747245E-2</v>
      </c>
      <c r="U44" s="196"/>
    </row>
    <row r="45" spans="1:21" x14ac:dyDescent="0.2">
      <c r="A45" s="72"/>
      <c r="B45" s="185" t="s">
        <v>169</v>
      </c>
      <c r="C45" s="197" t="s">
        <v>63</v>
      </c>
      <c r="D45" s="188" t="s">
        <v>77</v>
      </c>
      <c r="E45" s="188" t="s">
        <v>78</v>
      </c>
      <c r="F45" s="189">
        <f t="shared" ref="F45:Q45" si="30">((F19/100)*$S$19)*$T$2</f>
        <v>291.913365631234</v>
      </c>
      <c r="G45" s="189">
        <f t="shared" si="30"/>
        <v>291.913365631234</v>
      </c>
      <c r="H45" s="189">
        <f t="shared" si="30"/>
        <v>1897.4368766030209</v>
      </c>
      <c r="I45" s="189">
        <f t="shared" si="30"/>
        <v>2189.3502422342544</v>
      </c>
      <c r="J45" s="189">
        <f t="shared" si="30"/>
        <v>2189.3502422342544</v>
      </c>
      <c r="K45" s="189">
        <f t="shared" si="30"/>
        <v>3211.0470219435738</v>
      </c>
      <c r="L45" s="189">
        <f t="shared" si="30"/>
        <v>3357.0037047591904</v>
      </c>
      <c r="M45" s="189">
        <f t="shared" si="30"/>
        <v>1167.653462524936</v>
      </c>
      <c r="N45" s="189">
        <f t="shared" si="30"/>
        <v>0</v>
      </c>
      <c r="O45" s="189">
        <f t="shared" si="30"/>
        <v>0</v>
      </c>
      <c r="P45" s="189">
        <f t="shared" si="30"/>
        <v>0</v>
      </c>
      <c r="Q45" s="190">
        <f t="shared" si="30"/>
        <v>0</v>
      </c>
      <c r="R45" s="195">
        <f t="shared" si="11"/>
        <v>8</v>
      </c>
      <c r="S45" s="192">
        <f t="shared" si="8"/>
        <v>14595.668281561699</v>
      </c>
      <c r="T45" s="193">
        <f t="shared" si="9"/>
        <v>4.6216612145155954E-3</v>
      </c>
    </row>
    <row r="46" spans="1:21" x14ac:dyDescent="0.2">
      <c r="A46" s="72"/>
      <c r="B46" s="185" t="s">
        <v>170</v>
      </c>
      <c r="C46" s="198"/>
      <c r="D46" s="188" t="s">
        <v>79</v>
      </c>
      <c r="E46" s="188" t="s">
        <v>78</v>
      </c>
      <c r="F46" s="189">
        <f t="shared" ref="F46:Q46" si="31">((F19/100)*$S$19)*$T$3</f>
        <v>15.383834368766045</v>
      </c>
      <c r="G46" s="189">
        <f t="shared" si="31"/>
        <v>15.383834368766045</v>
      </c>
      <c r="H46" s="189">
        <f t="shared" si="31"/>
        <v>99.994923396979289</v>
      </c>
      <c r="I46" s="189">
        <f t="shared" si="31"/>
        <v>115.37875776574532</v>
      </c>
      <c r="J46" s="189">
        <f t="shared" si="31"/>
        <v>115.37875776574532</v>
      </c>
      <c r="K46" s="189">
        <f t="shared" si="31"/>
        <v>169.22217805642649</v>
      </c>
      <c r="L46" s="189">
        <f t="shared" si="31"/>
        <v>176.9140952408095</v>
      </c>
      <c r="M46" s="189">
        <f t="shared" si="31"/>
        <v>61.535337475064182</v>
      </c>
      <c r="N46" s="189">
        <f t="shared" si="31"/>
        <v>0</v>
      </c>
      <c r="O46" s="189">
        <f t="shared" si="31"/>
        <v>0</v>
      </c>
      <c r="P46" s="189">
        <f t="shared" si="31"/>
        <v>0</v>
      </c>
      <c r="Q46" s="190">
        <f t="shared" si="31"/>
        <v>0</v>
      </c>
      <c r="R46" s="195">
        <f t="shared" si="11"/>
        <v>8</v>
      </c>
      <c r="S46" s="192">
        <f t="shared" si="8"/>
        <v>769.19171843830213</v>
      </c>
      <c r="T46" s="193">
        <f t="shared" si="9"/>
        <v>2.4356154600497205E-4</v>
      </c>
      <c r="U46" s="196"/>
    </row>
    <row r="47" spans="1:21" x14ac:dyDescent="0.2">
      <c r="A47" s="72"/>
      <c r="B47" s="199"/>
      <c r="C47" s="200"/>
      <c r="D47" s="200"/>
      <c r="E47" s="200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2"/>
      <c r="R47" s="201"/>
      <c r="S47" s="201"/>
      <c r="T47" s="203"/>
    </row>
    <row r="48" spans="1:21" x14ac:dyDescent="0.2">
      <c r="A48" s="72"/>
      <c r="B48" s="185" t="s">
        <v>171</v>
      </c>
      <c r="C48" s="197" t="s">
        <v>75</v>
      </c>
      <c r="D48" s="194" t="s">
        <v>77</v>
      </c>
      <c r="E48" s="194" t="s">
        <v>78</v>
      </c>
      <c r="F48" s="204">
        <f t="shared" ref="F48:Q48" si="32">SUMIF($D$25:$D$46,"FINANCIAMENTO",F$25:F$46)</f>
        <v>150136.05414648048</v>
      </c>
      <c r="G48" s="204">
        <f t="shared" si="32"/>
        <v>239585.88553244038</v>
      </c>
      <c r="H48" s="204">
        <f t="shared" si="32"/>
        <v>410661.43611665239</v>
      </c>
      <c r="I48" s="204">
        <f t="shared" si="32"/>
        <v>652405.24508406955</v>
      </c>
      <c r="J48" s="204">
        <f t="shared" si="32"/>
        <v>608707.31404958677</v>
      </c>
      <c r="K48" s="204">
        <f t="shared" si="32"/>
        <v>533707.80583262083</v>
      </c>
      <c r="L48" s="204">
        <f t="shared" si="32"/>
        <v>283987.83537570055</v>
      </c>
      <c r="M48" s="204">
        <f t="shared" si="32"/>
        <v>120808.42386244895</v>
      </c>
      <c r="N48" s="204">
        <f t="shared" si="32"/>
        <v>0</v>
      </c>
      <c r="O48" s="204">
        <f t="shared" si="32"/>
        <v>0</v>
      </c>
      <c r="P48" s="204">
        <f t="shared" si="32"/>
        <v>0</v>
      </c>
      <c r="Q48" s="205">
        <f t="shared" si="32"/>
        <v>0</v>
      </c>
      <c r="R48" s="206"/>
      <c r="S48" s="207">
        <f>SUMIF($D$25:$D$46,"FINANCIAMENTO",S$25:S$46)</f>
        <v>3000000</v>
      </c>
      <c r="T48" s="208">
        <f>SUMIF($D$25:$D$46,"FINANCIAMENTO",T$25:T$46)</f>
        <v>0.94993825401348919</v>
      </c>
    </row>
    <row r="49" spans="1:20" x14ac:dyDescent="0.2">
      <c r="A49" s="72"/>
      <c r="B49" s="185" t="s">
        <v>172</v>
      </c>
      <c r="C49" s="198"/>
      <c r="D49" s="209" t="s">
        <v>79</v>
      </c>
      <c r="E49" s="209" t="s">
        <v>78</v>
      </c>
      <c r="F49" s="204">
        <f t="shared" ref="F49:T49" si="33">SUMIF($D$25:$D$46,"CONTRAPARTIDA",F$25:F$46)</f>
        <v>7912.1700535195268</v>
      </c>
      <c r="G49" s="204">
        <f t="shared" si="33"/>
        <v>12626.176167559619</v>
      </c>
      <c r="H49" s="204">
        <f t="shared" si="33"/>
        <v>21641.8576833476</v>
      </c>
      <c r="I49" s="204">
        <f t="shared" si="33"/>
        <v>34381.756415930497</v>
      </c>
      <c r="J49" s="204">
        <f t="shared" si="33"/>
        <v>32078.875450413252</v>
      </c>
      <c r="K49" s="204">
        <f t="shared" si="33"/>
        <v>28126.401367379145</v>
      </c>
      <c r="L49" s="204">
        <f t="shared" si="33"/>
        <v>14966.158924299432</v>
      </c>
      <c r="M49" s="204">
        <f t="shared" si="33"/>
        <v>6366.6039375510645</v>
      </c>
      <c r="N49" s="204">
        <f t="shared" si="33"/>
        <v>0</v>
      </c>
      <c r="O49" s="204">
        <f t="shared" si="33"/>
        <v>0</v>
      </c>
      <c r="P49" s="204">
        <f t="shared" si="33"/>
        <v>0</v>
      </c>
      <c r="Q49" s="205">
        <f t="shared" si="33"/>
        <v>0</v>
      </c>
      <c r="R49" s="210"/>
      <c r="S49" s="207">
        <f t="shared" si="33"/>
        <v>158100.00000000012</v>
      </c>
      <c r="T49" s="208">
        <f t="shared" si="33"/>
        <v>5.0061745986510926E-2</v>
      </c>
    </row>
    <row r="50" spans="1:20" x14ac:dyDescent="0.2">
      <c r="A50" s="72"/>
      <c r="B50" s="211"/>
      <c r="C50" s="200"/>
      <c r="D50" s="200"/>
      <c r="E50" s="200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2"/>
      <c r="R50" s="201"/>
      <c r="S50" s="212"/>
      <c r="T50" s="213"/>
    </row>
    <row r="51" spans="1:20" ht="15" customHeight="1" thickBot="1" x14ac:dyDescent="0.25">
      <c r="A51" s="72"/>
      <c r="B51" s="214" t="s">
        <v>80</v>
      </c>
      <c r="C51" s="215"/>
      <c r="D51" s="215"/>
      <c r="E51" s="216" t="s">
        <v>78</v>
      </c>
      <c r="F51" s="217">
        <f t="shared" ref="F51:Q51" si="34">SUM(F48:F49)</f>
        <v>158048.2242</v>
      </c>
      <c r="G51" s="217">
        <f t="shared" si="34"/>
        <v>252212.06169999999</v>
      </c>
      <c r="H51" s="217">
        <f t="shared" si="34"/>
        <v>432303.29379999998</v>
      </c>
      <c r="I51" s="217">
        <f t="shared" si="34"/>
        <v>686787.00150000001</v>
      </c>
      <c r="J51" s="217">
        <f t="shared" si="34"/>
        <v>640786.18949999998</v>
      </c>
      <c r="K51" s="217">
        <f t="shared" si="34"/>
        <v>561834.20719999995</v>
      </c>
      <c r="L51" s="218">
        <f t="shared" si="34"/>
        <v>298953.99429999996</v>
      </c>
      <c r="M51" s="218">
        <f t="shared" si="34"/>
        <v>127175.02780000001</v>
      </c>
      <c r="N51" s="218">
        <f t="shared" si="34"/>
        <v>0</v>
      </c>
      <c r="O51" s="218">
        <f t="shared" si="34"/>
        <v>0</v>
      </c>
      <c r="P51" s="218">
        <f t="shared" si="34"/>
        <v>0</v>
      </c>
      <c r="Q51" s="219">
        <f t="shared" si="34"/>
        <v>0</v>
      </c>
      <c r="R51" s="220"/>
      <c r="S51" s="221">
        <f>SUM(F51:Q51)</f>
        <v>3158099.9999999995</v>
      </c>
      <c r="T51" s="222">
        <f>SUM(T48:T49)</f>
        <v>1.0000000000000002</v>
      </c>
    </row>
    <row r="52" spans="1:20" ht="15" customHeight="1" thickTop="1" thickBot="1" x14ac:dyDescent="0.25">
      <c r="A52" s="72"/>
      <c r="B52" s="223" t="s">
        <v>173</v>
      </c>
      <c r="C52" s="224"/>
      <c r="D52" s="224"/>
      <c r="E52" s="225" t="s">
        <v>78</v>
      </c>
      <c r="F52" s="226">
        <f t="shared" ref="F52:Q52" si="35">IF($S$51=0,0,F51/$S$51)</f>
        <v>5.0045351382160166E-2</v>
      </c>
      <c r="G52" s="226">
        <f t="shared" si="35"/>
        <v>7.9861961844146803E-2</v>
      </c>
      <c r="H52" s="226">
        <f t="shared" si="35"/>
        <v>0.13688714537221749</v>
      </c>
      <c r="I52" s="226">
        <f t="shared" si="35"/>
        <v>0.21746841502802322</v>
      </c>
      <c r="J52" s="226">
        <f t="shared" si="35"/>
        <v>0.20290243801652894</v>
      </c>
      <c r="K52" s="226">
        <f t="shared" si="35"/>
        <v>0.17790260194420696</v>
      </c>
      <c r="L52" s="226">
        <f t="shared" si="35"/>
        <v>9.4662611791900192E-2</v>
      </c>
      <c r="M52" s="226">
        <f t="shared" si="35"/>
        <v>4.0269474620816322E-2</v>
      </c>
      <c r="N52" s="226">
        <f t="shared" si="35"/>
        <v>0</v>
      </c>
      <c r="O52" s="226">
        <f t="shared" si="35"/>
        <v>0</v>
      </c>
      <c r="P52" s="226">
        <f t="shared" si="35"/>
        <v>0</v>
      </c>
      <c r="Q52" s="227">
        <f t="shared" si="35"/>
        <v>0</v>
      </c>
      <c r="R52" s="228"/>
      <c r="S52" s="221">
        <f>S48+S49</f>
        <v>3158100</v>
      </c>
      <c r="T52" s="229">
        <f>SUM(F52:Q52)</f>
        <v>1</v>
      </c>
    </row>
    <row r="53" spans="1:20" ht="15" customHeight="1" thickTop="1" thickBot="1" x14ac:dyDescent="0.25">
      <c r="A53" s="72"/>
      <c r="B53" s="230" t="s">
        <v>174</v>
      </c>
      <c r="C53" s="231"/>
      <c r="D53" s="231"/>
      <c r="E53" s="232" t="s">
        <v>78</v>
      </c>
      <c r="F53" s="233">
        <f>F52</f>
        <v>5.0045351382160166E-2</v>
      </c>
      <c r="G53" s="233">
        <f t="shared" ref="G53:H53" si="36">IF(G51=0,0,F53+G52)</f>
        <v>0.12990731322630697</v>
      </c>
      <c r="H53" s="233">
        <f t="shared" si="36"/>
        <v>0.26679445859852446</v>
      </c>
      <c r="I53" s="233">
        <f>IF(I51=0,0,H53+I52)</f>
        <v>0.48426287362654769</v>
      </c>
      <c r="J53" s="233">
        <f t="shared" ref="J53:Q53" si="37">IF(J51=0,0,I53+J52)</f>
        <v>0.68716531164307659</v>
      </c>
      <c r="K53" s="233">
        <f t="shared" si="37"/>
        <v>0.86506791358728352</v>
      </c>
      <c r="L53" s="233">
        <f t="shared" si="37"/>
        <v>0.95973052537918369</v>
      </c>
      <c r="M53" s="233">
        <f t="shared" si="37"/>
        <v>1</v>
      </c>
      <c r="N53" s="233">
        <f t="shared" si="37"/>
        <v>0</v>
      </c>
      <c r="O53" s="233">
        <f t="shared" si="37"/>
        <v>0</v>
      </c>
      <c r="P53" s="233">
        <f t="shared" si="37"/>
        <v>0</v>
      </c>
      <c r="Q53" s="234">
        <f t="shared" si="37"/>
        <v>0</v>
      </c>
      <c r="R53" s="235"/>
      <c r="S53" s="236" t="str">
        <f>IF(S51=S52,"OK","CORRIGIR")</f>
        <v>OK</v>
      </c>
      <c r="T53" s="237" t="str">
        <f>IF(T51=T52,"OK","CORRIGIR")</f>
        <v>OK</v>
      </c>
    </row>
    <row r="54" spans="1:20" ht="15" customHeight="1" x14ac:dyDescent="0.2">
      <c r="A54" s="72"/>
      <c r="B54" s="238" t="s">
        <v>81</v>
      </c>
      <c r="C54" s="239"/>
      <c r="D54" s="240"/>
      <c r="E54" s="241"/>
      <c r="F54" s="239" t="s">
        <v>82</v>
      </c>
      <c r="G54" s="242"/>
      <c r="H54" s="242"/>
      <c r="I54" s="243"/>
      <c r="J54" s="244" t="s">
        <v>175</v>
      </c>
      <c r="K54" s="245"/>
      <c r="L54" s="245"/>
      <c r="M54" s="246"/>
      <c r="N54" s="247" t="s">
        <v>82</v>
      </c>
      <c r="O54" s="248"/>
      <c r="P54" s="249"/>
      <c r="Q54" s="239" t="s">
        <v>83</v>
      </c>
      <c r="R54" s="250"/>
      <c r="S54" s="250"/>
      <c r="T54" s="251"/>
    </row>
    <row r="55" spans="1:20" ht="45.75" customHeight="1" thickBot="1" x14ac:dyDescent="0.25">
      <c r="A55" s="72"/>
      <c r="B55" s="252"/>
      <c r="C55" s="253"/>
      <c r="D55" s="254"/>
      <c r="E55" s="255"/>
      <c r="F55" s="255"/>
      <c r="G55" s="256" t="s">
        <v>176</v>
      </c>
      <c r="H55" s="255"/>
      <c r="I55" s="257"/>
      <c r="J55" s="258"/>
      <c r="K55" s="259"/>
      <c r="L55" s="260"/>
      <c r="M55" s="261"/>
      <c r="N55" s="262"/>
      <c r="O55" s="263" t="s">
        <v>177</v>
      </c>
      <c r="P55" s="264"/>
      <c r="Q55" s="265"/>
      <c r="R55" s="266"/>
      <c r="S55" s="266"/>
      <c r="T55" s="267"/>
    </row>
  </sheetData>
  <printOptions horizontalCentered="1" verticalCentered="1"/>
  <pageMargins left="0.25" right="0.25" top="0.75" bottom="0.75" header="0.3" footer="0.3"/>
  <pageSetup paperSize="9" scale="73" orientation="landscape" r:id="rId1"/>
  <headerFooter alignWithMargins="0"/>
  <rowBreaks count="1" manualBreakCount="1">
    <brk id="16" max="65535" man="1"/>
  </rowBreaks>
  <ignoredErrors>
    <ignoredError sqref="B10:B17 B18:B19" numberStoredAsText="1"/>
    <ignoredError sqref="I3:K3 Q25:Q53 X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showGridLines="0" showZeros="0" zoomScaleSheetLayoutView="100" workbookViewId="0">
      <selection activeCell="H60" sqref="H60"/>
    </sheetView>
  </sheetViews>
  <sheetFormatPr defaultColWidth="21.6640625" defaultRowHeight="12.75" x14ac:dyDescent="0.2"/>
  <cols>
    <col min="1" max="1" width="12.5" style="39" customWidth="1"/>
    <col min="2" max="2" width="12.33203125" style="39" customWidth="1"/>
    <col min="3" max="3" width="87.83203125" style="19" customWidth="1"/>
    <col min="4" max="4" width="6.5" style="19" customWidth="1"/>
    <col min="5" max="5" width="12.83203125" style="19" customWidth="1"/>
    <col min="6" max="6" width="12.1640625" style="19" customWidth="1"/>
    <col min="7" max="8" width="16" style="19" customWidth="1"/>
    <col min="9" max="9" width="17.1640625" style="19" customWidth="1"/>
    <col min="10" max="10" width="17.1640625" style="19" hidden="1" customWidth="1"/>
    <col min="11" max="11" width="17.1640625" style="19" customWidth="1"/>
    <col min="12" max="16384" width="21.6640625" style="19"/>
  </cols>
  <sheetData>
    <row r="1" spans="1:11" s="24" customFormat="1" ht="20.100000000000001" customHeight="1" thickBot="1" x14ac:dyDescent="0.25">
      <c r="A1" s="40" t="s">
        <v>13</v>
      </c>
      <c r="B1" s="1"/>
      <c r="C1" s="2"/>
      <c r="D1" s="3"/>
      <c r="E1" s="3"/>
      <c r="F1" s="3"/>
      <c r="G1" s="2"/>
      <c r="H1" s="2"/>
    </row>
    <row r="2" spans="1:11" s="24" customFormat="1" ht="15" customHeight="1" x14ac:dyDescent="0.2">
      <c r="A2" s="41" t="s">
        <v>60</v>
      </c>
      <c r="B2" s="25"/>
      <c r="C2" s="42" t="s">
        <v>104</v>
      </c>
      <c r="D2" s="43"/>
      <c r="E2" s="43"/>
      <c r="F2" s="43"/>
      <c r="G2" s="56" t="s">
        <v>17</v>
      </c>
      <c r="H2" s="54" t="s">
        <v>129</v>
      </c>
    </row>
    <row r="3" spans="1:11" s="24" customFormat="1" ht="15" customHeight="1" x14ac:dyDescent="0.2">
      <c r="A3" s="44" t="s">
        <v>61</v>
      </c>
      <c r="B3" s="26"/>
      <c r="C3" s="45" t="s">
        <v>84</v>
      </c>
      <c r="D3" s="46"/>
      <c r="E3" s="46"/>
      <c r="F3" s="46"/>
      <c r="G3" s="57" t="s">
        <v>18</v>
      </c>
      <c r="H3" s="55" t="s">
        <v>105</v>
      </c>
    </row>
    <row r="4" spans="1:11" s="24" customFormat="1" ht="30" customHeight="1" thickBot="1" x14ac:dyDescent="0.25">
      <c r="A4" s="47" t="s">
        <v>62</v>
      </c>
      <c r="B4" s="27"/>
      <c r="C4" s="269" t="s">
        <v>132</v>
      </c>
      <c r="D4" s="270"/>
      <c r="E4" s="270"/>
      <c r="F4" s="270"/>
      <c r="G4" s="270"/>
      <c r="H4" s="271"/>
    </row>
    <row r="5" spans="1:11" ht="15" customHeight="1" thickBot="1" x14ac:dyDescent="0.25">
      <c r="A5" s="28" t="s">
        <v>33</v>
      </c>
      <c r="B5" s="29" t="s">
        <v>134</v>
      </c>
      <c r="C5" s="30" t="s">
        <v>12</v>
      </c>
      <c r="D5" s="61" t="s">
        <v>87</v>
      </c>
      <c r="E5" s="4" t="s">
        <v>14</v>
      </c>
      <c r="F5" s="5"/>
      <c r="G5" s="6"/>
      <c r="H5" s="6"/>
    </row>
    <row r="6" spans="1:11" ht="26.1" customHeight="1" thickBot="1" x14ac:dyDescent="0.25">
      <c r="A6" s="65" t="s">
        <v>19</v>
      </c>
      <c r="B6" s="66"/>
      <c r="C6" s="31"/>
      <c r="D6" s="7"/>
      <c r="E6" s="8" t="s">
        <v>101</v>
      </c>
      <c r="F6" s="10" t="s">
        <v>102</v>
      </c>
      <c r="G6" s="9" t="s">
        <v>0</v>
      </c>
      <c r="H6" s="11" t="s">
        <v>15</v>
      </c>
    </row>
    <row r="7" spans="1:11" ht="15" customHeight="1" thickBot="1" x14ac:dyDescent="0.25">
      <c r="A7" s="32" t="s">
        <v>46</v>
      </c>
      <c r="B7" s="33"/>
      <c r="C7" s="52" t="s">
        <v>39</v>
      </c>
      <c r="D7" s="34"/>
      <c r="E7" s="34"/>
      <c r="F7" s="34"/>
      <c r="G7" s="35"/>
      <c r="H7" s="36">
        <f>SUM(G8:G8)</f>
        <v>4565.92</v>
      </c>
    </row>
    <row r="8" spans="1:11" ht="15" customHeight="1" thickBot="1" x14ac:dyDescent="0.25">
      <c r="A8" s="67" t="s">
        <v>10</v>
      </c>
      <c r="B8" s="66" t="s">
        <v>22</v>
      </c>
      <c r="C8" s="62" t="s">
        <v>88</v>
      </c>
      <c r="D8" s="7" t="s">
        <v>5</v>
      </c>
      <c r="E8" s="48">
        <f>alice!E8+leonor!E8+juvencio!E8+jose!E8</f>
        <v>2</v>
      </c>
      <c r="F8" s="49">
        <v>2282.96</v>
      </c>
      <c r="G8" s="23">
        <f>IF(ISBLANK(E8),0,ROUND(E8*F8,2))</f>
        <v>4565.92</v>
      </c>
      <c r="H8" s="22"/>
      <c r="J8" s="63">
        <f>alice!G8+leonor!G8+juvencio!G8+jose!G8</f>
        <v>4565.92</v>
      </c>
      <c r="K8" s="60"/>
    </row>
    <row r="9" spans="1:11" ht="15" customHeight="1" thickBot="1" x14ac:dyDescent="0.25">
      <c r="A9" s="32" t="s">
        <v>21</v>
      </c>
      <c r="B9" s="51"/>
      <c r="C9" s="52" t="s">
        <v>35</v>
      </c>
      <c r="D9" s="34"/>
      <c r="E9" s="34"/>
      <c r="F9" s="34"/>
      <c r="G9" s="35"/>
      <c r="H9" s="36">
        <f>SUM(G10:G12)</f>
        <v>108733.16</v>
      </c>
      <c r="J9" s="63">
        <f>alice!G9+leonor!G9+juvencio!G9+jose!G9</f>
        <v>0</v>
      </c>
      <c r="K9" s="60"/>
    </row>
    <row r="10" spans="1:11" ht="15" customHeight="1" x14ac:dyDescent="0.2">
      <c r="A10" s="68">
        <v>400500</v>
      </c>
      <c r="B10" s="69" t="s">
        <v>23</v>
      </c>
      <c r="C10" s="20" t="s">
        <v>115</v>
      </c>
      <c r="D10" s="21" t="s">
        <v>1</v>
      </c>
      <c r="E10" s="59">
        <f>alice!E10+leonor!E10+juvencio!E10+jose!E10</f>
        <v>319.64999999999998</v>
      </c>
      <c r="F10" s="50">
        <v>117.69</v>
      </c>
      <c r="G10" s="23">
        <f>IF(ISBLANK(E10),0,ROUND(E10*F10,2))</f>
        <v>37619.61</v>
      </c>
      <c r="H10" s="22"/>
      <c r="J10" s="63">
        <f>alice!G10+leonor!G10+juvencio!G10+jose!G10</f>
        <v>37619.61</v>
      </c>
      <c r="K10" s="60"/>
    </row>
    <row r="11" spans="1:11" ht="15" customHeight="1" x14ac:dyDescent="0.2">
      <c r="A11" s="68">
        <v>520100</v>
      </c>
      <c r="B11" s="69" t="s">
        <v>23</v>
      </c>
      <c r="C11" s="20" t="s">
        <v>118</v>
      </c>
      <c r="D11" s="21" t="s">
        <v>1</v>
      </c>
      <c r="E11" s="59">
        <f>alice!E11+leonor!E11+juvencio!E11+jose!E11</f>
        <v>7670.2500000000009</v>
      </c>
      <c r="F11" s="50">
        <v>8.7200000000000006</v>
      </c>
      <c r="G11" s="23">
        <f>IF(ISBLANK(E11),0,ROUND(E11*F11,2))</f>
        <v>66884.58</v>
      </c>
      <c r="H11" s="22"/>
      <c r="J11" s="63">
        <f>alice!G11+leonor!G11+juvencio!G11+jose!G11</f>
        <v>66884.58</v>
      </c>
      <c r="K11" s="60"/>
    </row>
    <row r="12" spans="1:11" ht="15" customHeight="1" thickBot="1" x14ac:dyDescent="0.25">
      <c r="A12" s="68">
        <v>404000</v>
      </c>
      <c r="B12" s="69" t="s">
        <v>23</v>
      </c>
      <c r="C12" s="20" t="s">
        <v>114</v>
      </c>
      <c r="D12" s="21" t="s">
        <v>1</v>
      </c>
      <c r="E12" s="59">
        <f>alice!E12+leonor!E12+juvencio!E12+jose!E12</f>
        <v>319.64999999999998</v>
      </c>
      <c r="F12" s="50">
        <v>13.23</v>
      </c>
      <c r="G12" s="23">
        <f>IF(ISBLANK(E12),0,ROUND(E12*F12,2))</f>
        <v>4228.97</v>
      </c>
      <c r="H12" s="22"/>
      <c r="J12" s="63">
        <f>alice!G12+leonor!G12+juvencio!G12+jose!G12</f>
        <v>4228.97</v>
      </c>
      <c r="K12" s="60"/>
    </row>
    <row r="13" spans="1:11" ht="15" customHeight="1" thickBot="1" x14ac:dyDescent="0.25">
      <c r="A13" s="37" t="s">
        <v>24</v>
      </c>
      <c r="B13" s="38"/>
      <c r="C13" s="53" t="s">
        <v>40</v>
      </c>
      <c r="D13" s="34"/>
      <c r="E13" s="34"/>
      <c r="F13" s="34"/>
      <c r="G13" s="35"/>
      <c r="H13" s="36">
        <f>SUM(G14:G16)</f>
        <v>918785.15999999992</v>
      </c>
      <c r="J13" s="63">
        <f>alice!G13+leonor!G13+juvencio!G13+jose!G13</f>
        <v>0</v>
      </c>
      <c r="K13" s="60"/>
    </row>
    <row r="14" spans="1:11" ht="15" customHeight="1" x14ac:dyDescent="0.2">
      <c r="A14" s="68">
        <v>511100</v>
      </c>
      <c r="B14" s="69" t="s">
        <v>23</v>
      </c>
      <c r="C14" s="20" t="s">
        <v>89</v>
      </c>
      <c r="D14" s="21" t="s">
        <v>2</v>
      </c>
      <c r="E14" s="59">
        <f>alice!E14+leonor!E14+juvencio!E14+jose!E14</f>
        <v>17045</v>
      </c>
      <c r="F14" s="50">
        <v>3.15</v>
      </c>
      <c r="G14" s="23">
        <f>IF(ISBLANK(E14),0,ROUND(E14*F14,2))</f>
        <v>53691.75</v>
      </c>
      <c r="H14" s="22"/>
      <c r="J14" s="63">
        <f>alice!G14+leonor!G14+juvencio!G14+jose!G14</f>
        <v>53691.75</v>
      </c>
      <c r="K14" s="60"/>
    </row>
    <row r="15" spans="1:11" ht="15" customHeight="1" x14ac:dyDescent="0.2">
      <c r="A15" s="68">
        <v>530200</v>
      </c>
      <c r="B15" s="69" t="s">
        <v>23</v>
      </c>
      <c r="C15" s="20" t="s">
        <v>120</v>
      </c>
      <c r="D15" s="21" t="s">
        <v>1</v>
      </c>
      <c r="E15" s="59">
        <f>alice!E15+leonor!E15+juvencio!E15+jose!E15</f>
        <v>3409</v>
      </c>
      <c r="F15" s="50">
        <v>137.24</v>
      </c>
      <c r="G15" s="23">
        <f>IF(ISBLANK(E15),0,ROUND(E15*F15,2))</f>
        <v>467851.16</v>
      </c>
      <c r="H15" s="22"/>
      <c r="J15" s="63">
        <f>alice!G15+leonor!G15+juvencio!G15+jose!G15</f>
        <v>467851.16000000003</v>
      </c>
      <c r="K15" s="60"/>
    </row>
    <row r="16" spans="1:11" ht="15" customHeight="1" thickBot="1" x14ac:dyDescent="0.25">
      <c r="A16" s="68">
        <v>531000</v>
      </c>
      <c r="B16" s="69" t="s">
        <v>23</v>
      </c>
      <c r="C16" s="20" t="s">
        <v>25</v>
      </c>
      <c r="D16" s="21" t="s">
        <v>1</v>
      </c>
      <c r="E16" s="59">
        <f>alice!E16+leonor!E16+juvencio!E16+jose!E16</f>
        <v>2556.7500000000005</v>
      </c>
      <c r="F16" s="50">
        <v>155.37</v>
      </c>
      <c r="G16" s="23">
        <f>IF(ISBLANK(E16),0,ROUND(E16*F16,2))</f>
        <v>397242.25</v>
      </c>
      <c r="H16" s="22"/>
      <c r="J16" s="63">
        <f>alice!G16+leonor!G16+juvencio!G16+jose!G16</f>
        <v>397242.24</v>
      </c>
      <c r="K16" s="60"/>
    </row>
    <row r="17" spans="1:11" ht="15" customHeight="1" thickBot="1" x14ac:dyDescent="0.25">
      <c r="A17" s="37" t="s">
        <v>26</v>
      </c>
      <c r="B17" s="38"/>
      <c r="C17" s="53" t="s">
        <v>36</v>
      </c>
      <c r="D17" s="34"/>
      <c r="E17" s="64"/>
      <c r="F17" s="34"/>
      <c r="G17" s="35"/>
      <c r="H17" s="36">
        <f>SUM(G18:G20)</f>
        <v>838185.05999999994</v>
      </c>
      <c r="J17" s="63">
        <f>alice!G17+leonor!G17+juvencio!G17+jose!G17</f>
        <v>0</v>
      </c>
      <c r="K17" s="60"/>
    </row>
    <row r="18" spans="1:11" ht="15" customHeight="1" x14ac:dyDescent="0.2">
      <c r="A18" s="70" t="s">
        <v>99</v>
      </c>
      <c r="B18" s="71" t="s">
        <v>23</v>
      </c>
      <c r="C18" s="20" t="s">
        <v>100</v>
      </c>
      <c r="D18" s="21" t="s">
        <v>2</v>
      </c>
      <c r="E18" s="59">
        <f>alice!E18+leonor!E18+juvencio!E18+jose!E18</f>
        <v>16069.06</v>
      </c>
      <c r="F18" s="50">
        <v>3.9</v>
      </c>
      <c r="G18" s="23">
        <f>IF(ISBLANK(E18),0,ROUND(E18*F18,2))</f>
        <v>62669.33</v>
      </c>
      <c r="H18" s="22"/>
      <c r="J18" s="63">
        <f>alice!G18+leonor!G18+juvencio!G18+jose!G18</f>
        <v>62669.34</v>
      </c>
      <c r="K18" s="60"/>
    </row>
    <row r="19" spans="1:11" ht="15" customHeight="1" x14ac:dyDescent="0.2">
      <c r="A19" s="70">
        <v>561100</v>
      </c>
      <c r="B19" s="71" t="s">
        <v>23</v>
      </c>
      <c r="C19" s="20" t="s">
        <v>97</v>
      </c>
      <c r="D19" s="21" t="s">
        <v>2</v>
      </c>
      <c r="E19" s="59">
        <f>alice!E19+leonor!E19+juvencio!E19+jose!E19</f>
        <v>16069.06</v>
      </c>
      <c r="F19" s="50">
        <v>1.41</v>
      </c>
      <c r="G19" s="23">
        <f>IF(ISBLANK(E19),0,ROUND(E19*F19,2))</f>
        <v>22657.37</v>
      </c>
      <c r="H19" s="22"/>
      <c r="J19" s="63">
        <f>alice!G19+leonor!G19+juvencio!G19+jose!G19</f>
        <v>22657.360000000001</v>
      </c>
      <c r="K19" s="60"/>
    </row>
    <row r="20" spans="1:11" ht="15" customHeight="1" thickBot="1" x14ac:dyDescent="0.25">
      <c r="A20" s="68">
        <v>570000</v>
      </c>
      <c r="B20" s="69" t="s">
        <v>23</v>
      </c>
      <c r="C20" s="20" t="s">
        <v>85</v>
      </c>
      <c r="D20" s="21" t="s">
        <v>4</v>
      </c>
      <c r="E20" s="59">
        <f>alice!E20+leonor!E20+juvencio!E20+jose!E20</f>
        <v>1928.28</v>
      </c>
      <c r="F20" s="50">
        <v>390.43</v>
      </c>
      <c r="G20" s="23">
        <f>IF(ISBLANK(E20),0,ROUND(E20*F20,2))</f>
        <v>752858.36</v>
      </c>
      <c r="H20" s="22"/>
      <c r="J20" s="63">
        <f>alice!G20+leonor!G20+juvencio!G20+jose!G20</f>
        <v>752858.3600000001</v>
      </c>
      <c r="K20" s="60"/>
    </row>
    <row r="21" spans="1:11" ht="15" customHeight="1" thickBot="1" x14ac:dyDescent="0.25">
      <c r="A21" s="37" t="s">
        <v>20</v>
      </c>
      <c r="B21" s="38"/>
      <c r="C21" s="53" t="s">
        <v>37</v>
      </c>
      <c r="D21" s="34"/>
      <c r="E21" s="34"/>
      <c r="F21" s="34"/>
      <c r="G21" s="35"/>
      <c r="H21" s="36">
        <f>SUM(G22:G23)</f>
        <v>219147.13</v>
      </c>
      <c r="J21" s="63">
        <f>alice!G21+leonor!G21+juvencio!G21+jose!G21</f>
        <v>0</v>
      </c>
      <c r="K21" s="60"/>
    </row>
    <row r="22" spans="1:11" ht="15" customHeight="1" x14ac:dyDescent="0.2">
      <c r="A22" s="68">
        <v>810150</v>
      </c>
      <c r="B22" s="69" t="s">
        <v>23</v>
      </c>
      <c r="C22" s="20" t="s">
        <v>28</v>
      </c>
      <c r="D22" s="21" t="s">
        <v>3</v>
      </c>
      <c r="E22" s="59">
        <f>alice!E22+leonor!E22+juvencio!E22+jose!E22</f>
        <v>3956.2</v>
      </c>
      <c r="F22" s="50">
        <v>46.56</v>
      </c>
      <c r="G22" s="23">
        <f>IF(ISBLANK(E22),0,ROUND(E22*F22,2))</f>
        <v>184200.67</v>
      </c>
      <c r="H22" s="22"/>
      <c r="I22" s="60"/>
      <c r="J22" s="63">
        <f>alice!G22+leonor!G22+juvencio!G22+jose!G22</f>
        <v>184200.66999999998</v>
      </c>
      <c r="K22" s="60"/>
    </row>
    <row r="23" spans="1:11" ht="15" customHeight="1" thickBot="1" x14ac:dyDescent="0.25">
      <c r="A23" s="68">
        <v>810650</v>
      </c>
      <c r="B23" s="69" t="s">
        <v>23</v>
      </c>
      <c r="C23" s="20" t="s">
        <v>29</v>
      </c>
      <c r="D23" s="21" t="s">
        <v>3</v>
      </c>
      <c r="E23" s="59">
        <f>alice!E23+leonor!E23+juvencio!E23+jose!E23</f>
        <v>894</v>
      </c>
      <c r="F23" s="50">
        <v>39.090000000000003</v>
      </c>
      <c r="G23" s="23">
        <f>IF(ISBLANK(E23),0,ROUND(E23*F23,2))</f>
        <v>34946.46</v>
      </c>
      <c r="H23" s="22"/>
      <c r="J23" s="63">
        <f>alice!G23+leonor!G23+juvencio!G23+jose!G23</f>
        <v>34946.46</v>
      </c>
      <c r="K23" s="60"/>
    </row>
    <row r="24" spans="1:11" ht="15" customHeight="1" thickBot="1" x14ac:dyDescent="0.25">
      <c r="A24" s="37" t="s">
        <v>27</v>
      </c>
      <c r="B24" s="38"/>
      <c r="C24" s="53" t="s">
        <v>41</v>
      </c>
      <c r="D24" s="34"/>
      <c r="E24" s="34"/>
      <c r="F24" s="34"/>
      <c r="G24" s="35"/>
      <c r="H24" s="36">
        <f>SUM(G25:G29)</f>
        <v>369346.95000000007</v>
      </c>
      <c r="J24" s="63">
        <f>alice!G24+leonor!G24+juvencio!G24+jose!G24</f>
        <v>0</v>
      </c>
      <c r="K24" s="60"/>
    </row>
    <row r="25" spans="1:11" ht="15" customHeight="1" x14ac:dyDescent="0.2">
      <c r="A25" s="68">
        <v>72961</v>
      </c>
      <c r="B25" s="69" t="s">
        <v>22</v>
      </c>
      <c r="C25" s="20" t="s">
        <v>106</v>
      </c>
      <c r="D25" s="21" t="s">
        <v>2</v>
      </c>
      <c r="E25" s="59">
        <f>alice!E25+leonor!E25+juvencio!E25+jose!E25</f>
        <v>12116.599999999999</v>
      </c>
      <c r="F25" s="50">
        <v>1.52</v>
      </c>
      <c r="G25" s="23">
        <f>IF(ISBLANK(E25),0,ROUND(E25*F25,2))</f>
        <v>18417.23</v>
      </c>
      <c r="H25" s="22"/>
      <c r="J25" s="63">
        <f>alice!G25+leonor!G25+juvencio!G25+jose!G25</f>
        <v>18417.23</v>
      </c>
      <c r="K25" s="60"/>
    </row>
    <row r="26" spans="1:11" ht="15" customHeight="1" x14ac:dyDescent="0.2">
      <c r="A26" s="68" t="s">
        <v>107</v>
      </c>
      <c r="B26" s="69" t="s">
        <v>23</v>
      </c>
      <c r="C26" s="20" t="s">
        <v>108</v>
      </c>
      <c r="D26" s="21" t="s">
        <v>2</v>
      </c>
      <c r="E26" s="59">
        <f>alice!E26+leonor!E26+juvencio!E26+jose!E26</f>
        <v>7752.91</v>
      </c>
      <c r="F26" s="50">
        <v>29.38</v>
      </c>
      <c r="G26" s="23">
        <f t="shared" ref="G26:G29" si="0">IF(ISBLANK(E26),0,ROUND(E26*F26,2))</f>
        <v>227780.5</v>
      </c>
      <c r="H26" s="22"/>
      <c r="J26" s="63">
        <f>alice!G26+leonor!G26+juvencio!G26+jose!G26</f>
        <v>227780.5</v>
      </c>
      <c r="K26" s="60"/>
    </row>
    <row r="27" spans="1:11" ht="15" customHeight="1" x14ac:dyDescent="0.2">
      <c r="A27" s="68">
        <v>531000</v>
      </c>
      <c r="B27" s="69" t="s">
        <v>23</v>
      </c>
      <c r="C27" s="20" t="s">
        <v>109</v>
      </c>
      <c r="D27" s="21" t="s">
        <v>1</v>
      </c>
      <c r="E27" s="59">
        <f>alice!E27+leonor!E27+juvencio!E27+jose!E27</f>
        <v>387.65</v>
      </c>
      <c r="F27" s="50">
        <v>155.37</v>
      </c>
      <c r="G27" s="23">
        <f t="shared" si="0"/>
        <v>60229.18</v>
      </c>
      <c r="H27" s="22"/>
      <c r="J27" s="63">
        <f>alice!G27+leonor!G27+juvencio!G27+jose!G27</f>
        <v>60229.18</v>
      </c>
      <c r="K27" s="60"/>
    </row>
    <row r="28" spans="1:11" ht="15" customHeight="1" x14ac:dyDescent="0.2">
      <c r="A28" s="68" t="s">
        <v>43</v>
      </c>
      <c r="B28" s="69" t="s">
        <v>22</v>
      </c>
      <c r="C28" s="20" t="s">
        <v>90</v>
      </c>
      <c r="D28" s="21" t="s">
        <v>2</v>
      </c>
      <c r="E28" s="59">
        <f>alice!E28+leonor!E28+juvencio!E28+jose!E28</f>
        <v>4363.6899999999996</v>
      </c>
      <c r="F28" s="50">
        <v>8.52</v>
      </c>
      <c r="G28" s="23">
        <f t="shared" ref="G28" si="1">IF(ISBLANK(E28),0,ROUND(E28*F28,2))</f>
        <v>37178.639999999999</v>
      </c>
      <c r="H28" s="22"/>
      <c r="J28" s="63">
        <f>alice!G28+leonor!G28+juvencio!G28+jose!G28</f>
        <v>37178.639999999999</v>
      </c>
      <c r="K28" s="60"/>
    </row>
    <row r="29" spans="1:11" ht="15" customHeight="1" thickBot="1" x14ac:dyDescent="0.25">
      <c r="A29" s="68" t="s">
        <v>117</v>
      </c>
      <c r="B29" s="69" t="s">
        <v>23</v>
      </c>
      <c r="C29" s="20" t="s">
        <v>116</v>
      </c>
      <c r="D29" s="21" t="s">
        <v>5</v>
      </c>
      <c r="E29" s="59">
        <f>alice!E29+leonor!E29+juvencio!E29+jose!E29</f>
        <v>68</v>
      </c>
      <c r="F29" s="50">
        <v>378.55</v>
      </c>
      <c r="G29" s="23">
        <f t="shared" si="0"/>
        <v>25741.4</v>
      </c>
      <c r="H29" s="22"/>
      <c r="J29" s="63">
        <f>alice!G29+leonor!G29+juvencio!G29+jose!G29</f>
        <v>25741.4</v>
      </c>
      <c r="K29" s="60"/>
    </row>
    <row r="30" spans="1:11" ht="15" customHeight="1" thickBot="1" x14ac:dyDescent="0.25">
      <c r="A30" s="37" t="s">
        <v>34</v>
      </c>
      <c r="B30" s="38"/>
      <c r="C30" s="53" t="s">
        <v>42</v>
      </c>
      <c r="D30" s="34"/>
      <c r="E30" s="34"/>
      <c r="F30" s="34"/>
      <c r="G30" s="35"/>
      <c r="H30" s="36">
        <f>SUM(G31:G33)</f>
        <v>51926.38</v>
      </c>
      <c r="J30" s="63">
        <f>alice!G30+leonor!G30+juvencio!G30+jose!G30</f>
        <v>0</v>
      </c>
      <c r="K30" s="60"/>
    </row>
    <row r="31" spans="1:11" ht="15" customHeight="1" x14ac:dyDescent="0.2">
      <c r="A31" s="68">
        <v>822000</v>
      </c>
      <c r="B31" s="69" t="s">
        <v>23</v>
      </c>
      <c r="C31" s="20" t="s">
        <v>91</v>
      </c>
      <c r="D31" s="21" t="s">
        <v>2</v>
      </c>
      <c r="E31" s="59">
        <f>alice!E31+leonor!E31+juvencio!E31+jose!E31</f>
        <v>809.24</v>
      </c>
      <c r="F31" s="50">
        <v>28.98</v>
      </c>
      <c r="G31" s="23">
        <f t="shared" ref="G31:G33" si="2">IF(ISBLANK(E31),0,ROUND(E31*F31,2))</f>
        <v>23451.78</v>
      </c>
      <c r="H31" s="22"/>
      <c r="J31" s="63">
        <f>alice!G31+leonor!G31+juvencio!G31+jose!G31</f>
        <v>23451.78</v>
      </c>
      <c r="K31" s="60"/>
    </row>
    <row r="32" spans="1:11" ht="15" customHeight="1" x14ac:dyDescent="0.2">
      <c r="A32" s="68" t="s">
        <v>30</v>
      </c>
      <c r="B32" s="69" t="s">
        <v>23</v>
      </c>
      <c r="C32" s="20" t="s">
        <v>92</v>
      </c>
      <c r="D32" s="21" t="s">
        <v>5</v>
      </c>
      <c r="E32" s="59">
        <f>alice!E32+leonor!E32+juvencio!E32+jose!E32</f>
        <v>22</v>
      </c>
      <c r="F32" s="50">
        <v>645.24</v>
      </c>
      <c r="G32" s="23">
        <f t="shared" si="2"/>
        <v>14195.28</v>
      </c>
      <c r="H32" s="22"/>
      <c r="J32" s="63">
        <f>alice!G32+leonor!G32+juvencio!G32+jose!G32</f>
        <v>14195.279999999999</v>
      </c>
      <c r="K32" s="60"/>
    </row>
    <row r="33" spans="1:11" ht="15" customHeight="1" thickBot="1" x14ac:dyDescent="0.25">
      <c r="A33" s="68" t="s">
        <v>86</v>
      </c>
      <c r="B33" s="69" t="s">
        <v>23</v>
      </c>
      <c r="C33" s="20" t="s">
        <v>130</v>
      </c>
      <c r="D33" s="21" t="s">
        <v>5</v>
      </c>
      <c r="E33" s="59">
        <f>alice!E33+leonor!E33+juvencio!E33+jose!E33</f>
        <v>22</v>
      </c>
      <c r="F33" s="49">
        <v>649.05999999999995</v>
      </c>
      <c r="G33" s="23">
        <f t="shared" si="2"/>
        <v>14279.32</v>
      </c>
      <c r="H33" s="22"/>
      <c r="I33" s="60"/>
      <c r="J33" s="63">
        <f>alice!G33+leonor!G33+juvencio!G33+jose!G33</f>
        <v>14279.32</v>
      </c>
      <c r="K33" s="60"/>
    </row>
    <row r="34" spans="1:11" ht="15" customHeight="1" thickBot="1" x14ac:dyDescent="0.25">
      <c r="A34" s="37" t="s">
        <v>126</v>
      </c>
      <c r="B34" s="38"/>
      <c r="C34" s="53" t="s">
        <v>38</v>
      </c>
      <c r="D34" s="34"/>
      <c r="E34" s="34"/>
      <c r="F34" s="34"/>
      <c r="G34" s="35"/>
      <c r="H34" s="36">
        <f>SUM(G35:G46)</f>
        <v>632045.38</v>
      </c>
      <c r="J34" s="63">
        <f>alice!G34+leonor!G34+juvencio!G34+jose!G34</f>
        <v>0</v>
      </c>
      <c r="K34" s="60"/>
    </row>
    <row r="35" spans="1:11" ht="15" customHeight="1" x14ac:dyDescent="0.2">
      <c r="A35" s="68">
        <v>600300</v>
      </c>
      <c r="B35" s="69" t="s">
        <v>23</v>
      </c>
      <c r="C35" s="20" t="s">
        <v>93</v>
      </c>
      <c r="D35" s="21" t="s">
        <v>1</v>
      </c>
      <c r="E35" s="59">
        <f>alice!E35+leonor!E35+juvencio!E35+jose!E35</f>
        <v>3469.88</v>
      </c>
      <c r="F35" s="50">
        <v>8.39</v>
      </c>
      <c r="G35" s="23">
        <f t="shared" ref="G35:G44" si="3">IF(ISBLANK(E35),0,ROUND(E35*F35,2))</f>
        <v>29112.29</v>
      </c>
      <c r="H35" s="22"/>
      <c r="J35" s="63">
        <f>alice!G35+leonor!G35+juvencio!G35+jose!G35</f>
        <v>29112.289999999997</v>
      </c>
      <c r="K35" s="60"/>
    </row>
    <row r="36" spans="1:11" ht="15" customHeight="1" x14ac:dyDescent="0.2">
      <c r="A36" s="68">
        <v>601200</v>
      </c>
      <c r="B36" s="69" t="s">
        <v>23</v>
      </c>
      <c r="C36" s="20" t="s">
        <v>31</v>
      </c>
      <c r="D36" s="21" t="s">
        <v>1</v>
      </c>
      <c r="E36" s="59">
        <f>alice!E36+leonor!E36+juvencio!E36+jose!E36</f>
        <v>2835.17</v>
      </c>
      <c r="F36" s="50">
        <v>28.97</v>
      </c>
      <c r="G36" s="23">
        <f t="shared" si="3"/>
        <v>82134.87</v>
      </c>
      <c r="H36" s="22"/>
      <c r="J36" s="63">
        <f>alice!G36+leonor!G36+juvencio!G36+jose!G36</f>
        <v>82134.880000000005</v>
      </c>
      <c r="K36" s="60"/>
    </row>
    <row r="37" spans="1:11" ht="15" customHeight="1" x14ac:dyDescent="0.2">
      <c r="A37" s="68">
        <v>603900</v>
      </c>
      <c r="B37" s="69" t="s">
        <v>23</v>
      </c>
      <c r="C37" s="18" t="s">
        <v>32</v>
      </c>
      <c r="D37" s="21" t="s">
        <v>1</v>
      </c>
      <c r="E37" s="59">
        <f>alice!E37+leonor!E37+juvencio!E37+jose!E37</f>
        <v>45.72</v>
      </c>
      <c r="F37" s="50">
        <v>155.09</v>
      </c>
      <c r="G37" s="23">
        <f t="shared" si="3"/>
        <v>7090.71</v>
      </c>
      <c r="H37" s="22"/>
      <c r="J37" s="63">
        <f>alice!G37+leonor!G37+juvencio!G37+jose!G37</f>
        <v>7090.71</v>
      </c>
      <c r="K37" s="60"/>
    </row>
    <row r="38" spans="1:11" ht="15" customHeight="1" x14ac:dyDescent="0.2">
      <c r="A38" s="68">
        <v>620100</v>
      </c>
      <c r="B38" s="69" t="s">
        <v>23</v>
      </c>
      <c r="C38" s="20" t="s">
        <v>128</v>
      </c>
      <c r="D38" s="21" t="s">
        <v>5</v>
      </c>
      <c r="E38" s="59">
        <f>alice!E38+leonor!E38+juvencio!E38+jose!E38</f>
        <v>1</v>
      </c>
      <c r="F38" s="50">
        <v>1109.92</v>
      </c>
      <c r="G38" s="23">
        <f t="shared" ref="G38" si="4">IF(ISBLANK(E38),0,ROUND(E38*F38,2))</f>
        <v>1109.92</v>
      </c>
      <c r="H38" s="22"/>
      <c r="J38" s="63">
        <f>alice!G38+leonor!G38+juvencio!G38+jose!G38</f>
        <v>1109.92</v>
      </c>
      <c r="K38" s="60"/>
    </row>
    <row r="39" spans="1:11" ht="15" customHeight="1" x14ac:dyDescent="0.2">
      <c r="A39" s="68">
        <v>620300</v>
      </c>
      <c r="B39" s="69" t="s">
        <v>23</v>
      </c>
      <c r="C39" s="20" t="s">
        <v>119</v>
      </c>
      <c r="D39" s="21" t="s">
        <v>5</v>
      </c>
      <c r="E39" s="59">
        <f>alice!E39+leonor!E39+juvencio!E39+jose!E39</f>
        <v>2</v>
      </c>
      <c r="F39" s="50">
        <v>2198.44</v>
      </c>
      <c r="G39" s="23">
        <f t="shared" si="3"/>
        <v>4396.88</v>
      </c>
      <c r="H39" s="22"/>
      <c r="J39" s="63">
        <f>alice!G39+leonor!G39+juvencio!G39+jose!G39</f>
        <v>4396.88</v>
      </c>
      <c r="K39" s="60"/>
    </row>
    <row r="40" spans="1:11" ht="15" customHeight="1" x14ac:dyDescent="0.2">
      <c r="A40" s="68" t="s">
        <v>7</v>
      </c>
      <c r="B40" s="69" t="s">
        <v>23</v>
      </c>
      <c r="C40" s="20" t="s">
        <v>110</v>
      </c>
      <c r="D40" s="21" t="s">
        <v>3</v>
      </c>
      <c r="E40" s="59">
        <f>alice!E40+leonor!E40+juvencio!E40+jose!E40</f>
        <v>1097</v>
      </c>
      <c r="F40" s="50">
        <v>81.84</v>
      </c>
      <c r="G40" s="23">
        <f t="shared" si="3"/>
        <v>89778.48</v>
      </c>
      <c r="H40" s="22"/>
      <c r="I40" s="60"/>
      <c r="J40" s="63">
        <f>alice!G40+leonor!G40+juvencio!G40+jose!G40</f>
        <v>89778.48</v>
      </c>
      <c r="K40" s="60"/>
    </row>
    <row r="41" spans="1:11" ht="15" customHeight="1" x14ac:dyDescent="0.2">
      <c r="A41" s="68" t="s">
        <v>8</v>
      </c>
      <c r="B41" s="69" t="s">
        <v>23</v>
      </c>
      <c r="C41" s="20" t="s">
        <v>111</v>
      </c>
      <c r="D41" s="21" t="s">
        <v>3</v>
      </c>
      <c r="E41" s="59">
        <f>alice!E41+leonor!E41+juvencio!E41+jose!E41</f>
        <v>261</v>
      </c>
      <c r="F41" s="50">
        <v>141.69</v>
      </c>
      <c r="G41" s="23">
        <f t="shared" si="3"/>
        <v>36981.089999999997</v>
      </c>
      <c r="H41" s="22"/>
      <c r="J41" s="63">
        <f>alice!G41+leonor!G41+juvencio!G41+jose!G41</f>
        <v>36981.089999999997</v>
      </c>
      <c r="K41" s="60"/>
    </row>
    <row r="42" spans="1:11" ht="15" customHeight="1" x14ac:dyDescent="0.2">
      <c r="A42" s="68" t="s">
        <v>9</v>
      </c>
      <c r="B42" s="69" t="s">
        <v>23</v>
      </c>
      <c r="C42" s="20" t="s">
        <v>122</v>
      </c>
      <c r="D42" s="21" t="s">
        <v>3</v>
      </c>
      <c r="E42" s="59">
        <f>alice!E42+leonor!E42+juvencio!E42+jose!E42</f>
        <v>514</v>
      </c>
      <c r="F42" s="50">
        <v>124.26</v>
      </c>
      <c r="G42" s="23">
        <f t="shared" si="3"/>
        <v>63869.64</v>
      </c>
      <c r="H42" s="22"/>
      <c r="J42" s="63">
        <f>alice!G42+leonor!G42+juvencio!G42+jose!G42</f>
        <v>63869.64</v>
      </c>
      <c r="K42" s="60"/>
    </row>
    <row r="43" spans="1:11" ht="15" customHeight="1" x14ac:dyDescent="0.2">
      <c r="A43" s="68" t="s">
        <v>112</v>
      </c>
      <c r="B43" s="69" t="s">
        <v>23</v>
      </c>
      <c r="C43" s="20" t="s">
        <v>123</v>
      </c>
      <c r="D43" s="21" t="s">
        <v>3</v>
      </c>
      <c r="E43" s="59">
        <f>alice!E43+leonor!E43+juvencio!E43+jose!E43</f>
        <v>133</v>
      </c>
      <c r="F43" s="50">
        <v>188.04</v>
      </c>
      <c r="G43" s="23">
        <f t="shared" si="3"/>
        <v>25009.32</v>
      </c>
      <c r="H43" s="22"/>
      <c r="J43" s="63">
        <f>alice!G43+leonor!G43+juvencio!G43+jose!G43</f>
        <v>25009.32</v>
      </c>
      <c r="K43" s="60"/>
    </row>
    <row r="44" spans="1:11" ht="15" customHeight="1" x14ac:dyDescent="0.2">
      <c r="A44" s="68" t="s">
        <v>113</v>
      </c>
      <c r="B44" s="69" t="s">
        <v>23</v>
      </c>
      <c r="C44" s="20" t="s">
        <v>124</v>
      </c>
      <c r="D44" s="21" t="s">
        <v>3</v>
      </c>
      <c r="E44" s="59">
        <f>alice!E44+leonor!E44+juvencio!E44+jose!E44</f>
        <v>143</v>
      </c>
      <c r="F44" s="50">
        <v>302.02</v>
      </c>
      <c r="G44" s="23">
        <f t="shared" si="3"/>
        <v>43188.86</v>
      </c>
      <c r="H44" s="22"/>
      <c r="J44" s="63">
        <f>alice!G44+leonor!G44+juvencio!G44+jose!G44</f>
        <v>43188.86</v>
      </c>
      <c r="K44" s="60"/>
    </row>
    <row r="45" spans="1:11" ht="15" customHeight="1" x14ac:dyDescent="0.2">
      <c r="A45" s="68" t="s">
        <v>121</v>
      </c>
      <c r="B45" s="69" t="s">
        <v>23</v>
      </c>
      <c r="C45" s="20" t="s">
        <v>125</v>
      </c>
      <c r="D45" s="21" t="s">
        <v>3</v>
      </c>
      <c r="E45" s="59">
        <f>alice!E45+leonor!E45+juvencio!E45+jose!E45</f>
        <v>71</v>
      </c>
      <c r="F45" s="50">
        <v>428.92</v>
      </c>
      <c r="G45" s="23">
        <f t="shared" ref="G45" si="5">IF(ISBLANK(E45),0,ROUND(E45*F45,2))</f>
        <v>30453.32</v>
      </c>
      <c r="H45" s="22"/>
      <c r="J45" s="63">
        <f>alice!G45+leonor!G45+juvencio!G45+jose!G45</f>
        <v>30453.32</v>
      </c>
      <c r="K45" s="60"/>
    </row>
    <row r="46" spans="1:11" ht="15" customHeight="1" thickBot="1" x14ac:dyDescent="0.25">
      <c r="A46" s="68" t="s">
        <v>6</v>
      </c>
      <c r="B46" s="69" t="s">
        <v>23</v>
      </c>
      <c r="C46" s="20" t="s">
        <v>94</v>
      </c>
      <c r="D46" s="21" t="s">
        <v>5</v>
      </c>
      <c r="E46" s="59">
        <f>alice!E46+leonor!E46+juvencio!E46+jose!E46</f>
        <v>130</v>
      </c>
      <c r="F46" s="50">
        <v>1684</v>
      </c>
      <c r="G46" s="23">
        <f t="shared" ref="G46" si="6">IF(ISBLANK(E46),0,ROUND(E46*F46,2))</f>
        <v>218920</v>
      </c>
      <c r="H46" s="22"/>
      <c r="J46" s="63">
        <f>alice!G46+leonor!G46+juvencio!G46+jose!G46</f>
        <v>218920</v>
      </c>
      <c r="K46" s="60"/>
    </row>
    <row r="47" spans="1:11" ht="54.95" customHeight="1" thickBot="1" x14ac:dyDescent="0.25">
      <c r="A47" s="37" t="s">
        <v>127</v>
      </c>
      <c r="B47" s="38"/>
      <c r="C47" s="58" t="s">
        <v>103</v>
      </c>
      <c r="D47" s="34" t="s">
        <v>98</v>
      </c>
      <c r="E47" s="34"/>
      <c r="F47" s="34"/>
      <c r="G47" s="35"/>
      <c r="H47" s="36">
        <f>SUM(G48:G55)</f>
        <v>15364.86</v>
      </c>
      <c r="J47" s="63">
        <f>alice!G47+leonor!G47+juvencio!G47+jose!G47</f>
        <v>0</v>
      </c>
    </row>
    <row r="48" spans="1:11" ht="27.95" customHeight="1" x14ac:dyDescent="0.2">
      <c r="A48" s="68" t="s">
        <v>47</v>
      </c>
      <c r="B48" s="69" t="s">
        <v>22</v>
      </c>
      <c r="C48" s="20" t="s">
        <v>48</v>
      </c>
      <c r="D48" s="21" t="s">
        <v>5</v>
      </c>
      <c r="E48" s="59">
        <f>alice!E48+leonor!E48+juvencio!E48+jose!E48</f>
        <v>21</v>
      </c>
      <c r="F48" s="50">
        <v>58.05</v>
      </c>
      <c r="G48" s="23">
        <f t="shared" ref="G48:G55" si="7">IF(ISBLANK(E48),0,ROUND(E48*F48,2))</f>
        <v>1219.05</v>
      </c>
      <c r="H48" s="22"/>
      <c r="J48" s="63">
        <f>alice!G48+leonor!G48+juvencio!G48+jose!G48</f>
        <v>1219.05</v>
      </c>
    </row>
    <row r="49" spans="1:10" ht="27.95" customHeight="1" x14ac:dyDescent="0.2">
      <c r="A49" s="68" t="s">
        <v>47</v>
      </c>
      <c r="B49" s="69" t="s">
        <v>22</v>
      </c>
      <c r="C49" s="20" t="s">
        <v>49</v>
      </c>
      <c r="D49" s="21" t="s">
        <v>5</v>
      </c>
      <c r="E49" s="59">
        <f>alice!E49+leonor!E49+juvencio!E49+jose!E49</f>
        <v>42</v>
      </c>
      <c r="F49" s="50">
        <v>58.05</v>
      </c>
      <c r="G49" s="23">
        <f t="shared" si="7"/>
        <v>2438.1</v>
      </c>
      <c r="H49" s="22"/>
      <c r="J49" s="63">
        <f>alice!G49+leonor!G49+juvencio!G49+jose!G49</f>
        <v>2438.1</v>
      </c>
    </row>
    <row r="50" spans="1:10" ht="15" customHeight="1" x14ac:dyDescent="0.2">
      <c r="A50" s="68" t="s">
        <v>50</v>
      </c>
      <c r="B50" s="69" t="s">
        <v>22</v>
      </c>
      <c r="C50" s="20" t="s">
        <v>51</v>
      </c>
      <c r="D50" s="21" t="s">
        <v>5</v>
      </c>
      <c r="E50" s="59">
        <f>alice!E50+leonor!E50+juvencio!E50+jose!E50</f>
        <v>21</v>
      </c>
      <c r="F50" s="50">
        <v>82.93</v>
      </c>
      <c r="G50" s="23">
        <f t="shared" si="7"/>
        <v>1741.53</v>
      </c>
      <c r="H50" s="22"/>
      <c r="J50" s="63">
        <f>alice!G50+leonor!G50+juvencio!G50+jose!G50</f>
        <v>1741.53</v>
      </c>
    </row>
    <row r="51" spans="1:10" ht="15" customHeight="1" x14ac:dyDescent="0.2">
      <c r="A51" s="68" t="s">
        <v>52</v>
      </c>
      <c r="B51" s="69" t="s">
        <v>22</v>
      </c>
      <c r="C51" s="18" t="s">
        <v>53</v>
      </c>
      <c r="D51" s="21" t="s">
        <v>5</v>
      </c>
      <c r="E51" s="59">
        <f>alice!E51+leonor!E51+juvencio!E51+jose!E51</f>
        <v>23</v>
      </c>
      <c r="F51" s="50">
        <v>124.4</v>
      </c>
      <c r="G51" s="23">
        <f t="shared" si="7"/>
        <v>2861.2</v>
      </c>
      <c r="H51" s="22"/>
      <c r="J51" s="63">
        <f>alice!G51+leonor!G51+juvencio!G51+jose!G51</f>
        <v>2861.2</v>
      </c>
    </row>
    <row r="52" spans="1:10" ht="15" customHeight="1" x14ac:dyDescent="0.2">
      <c r="A52" s="68" t="s">
        <v>54</v>
      </c>
      <c r="B52" s="69" t="s">
        <v>22</v>
      </c>
      <c r="C52" s="20" t="s">
        <v>55</v>
      </c>
      <c r="D52" s="21" t="s">
        <v>5</v>
      </c>
      <c r="E52" s="59">
        <f>alice!E52+leonor!E52+juvencio!E52+jose!E52</f>
        <v>23</v>
      </c>
      <c r="F52" s="50">
        <v>74.63</v>
      </c>
      <c r="G52" s="23">
        <f t="shared" si="7"/>
        <v>1716.49</v>
      </c>
      <c r="H52" s="22"/>
      <c r="J52" s="63">
        <f>alice!G52+leonor!G52+juvencio!G52+jose!G52</f>
        <v>1716.4899999999998</v>
      </c>
    </row>
    <row r="53" spans="1:10" ht="15" customHeight="1" x14ac:dyDescent="0.2">
      <c r="A53" s="68" t="s">
        <v>56</v>
      </c>
      <c r="B53" s="69" t="s">
        <v>22</v>
      </c>
      <c r="C53" s="20" t="s">
        <v>57</v>
      </c>
      <c r="D53" s="21" t="s">
        <v>5</v>
      </c>
      <c r="E53" s="59">
        <f>alice!E53+leonor!E53+juvencio!E53+jose!E53</f>
        <v>23</v>
      </c>
      <c r="F53" s="50">
        <v>60.82</v>
      </c>
      <c r="G53" s="23">
        <f t="shared" si="7"/>
        <v>1398.86</v>
      </c>
      <c r="H53" s="22"/>
      <c r="J53" s="63">
        <f>alice!G53+leonor!G53+juvencio!G53+jose!G53</f>
        <v>1398.86</v>
      </c>
    </row>
    <row r="54" spans="1:10" ht="15" customHeight="1" x14ac:dyDescent="0.2">
      <c r="A54" s="68"/>
      <c r="B54" s="69" t="s">
        <v>58</v>
      </c>
      <c r="C54" s="20" t="s">
        <v>96</v>
      </c>
      <c r="D54" s="21" t="s">
        <v>5</v>
      </c>
      <c r="E54" s="59">
        <f>alice!E54+leonor!E54+juvencio!E54+jose!E54</f>
        <v>23</v>
      </c>
      <c r="F54" s="50">
        <v>41.15</v>
      </c>
      <c r="G54" s="23">
        <f t="shared" si="7"/>
        <v>946.45</v>
      </c>
      <c r="H54" s="22"/>
      <c r="J54" s="63">
        <f>alice!G54+leonor!G54+juvencio!G54+jose!G54</f>
        <v>946.45</v>
      </c>
    </row>
    <row r="55" spans="1:10" ht="27.95" customHeight="1" thickBot="1" x14ac:dyDescent="0.25">
      <c r="A55" s="68">
        <v>72872</v>
      </c>
      <c r="B55" s="69" t="s">
        <v>22</v>
      </c>
      <c r="C55" s="20" t="s">
        <v>95</v>
      </c>
      <c r="D55" s="21" t="s">
        <v>59</v>
      </c>
      <c r="E55" s="59">
        <v>1</v>
      </c>
      <c r="F55" s="50">
        <v>3043.18</v>
      </c>
      <c r="G55" s="23">
        <f t="shared" si="7"/>
        <v>3043.18</v>
      </c>
      <c r="H55" s="22"/>
      <c r="J55" s="63">
        <f>alice!G55+leonor!G55+juvencio!G55+jose!G55</f>
        <v>0</v>
      </c>
    </row>
    <row r="56" spans="1:10" ht="15" customHeight="1" thickBot="1" x14ac:dyDescent="0.25">
      <c r="A56" s="14" t="s">
        <v>11</v>
      </c>
      <c r="B56" s="15"/>
      <c r="C56" s="16" t="s">
        <v>45</v>
      </c>
      <c r="D56" s="13"/>
      <c r="E56" s="17"/>
      <c r="F56" s="17"/>
      <c r="G56" s="12">
        <f>SUBTOTAL(9,G7:G55)</f>
        <v>3158099.9999999995</v>
      </c>
      <c r="H56" s="12">
        <f>SUBTOTAL(9,H7:H55)</f>
        <v>3158099.9999999995</v>
      </c>
    </row>
    <row r="58" spans="1:10" x14ac:dyDescent="0.2">
      <c r="H58" s="63">
        <f>alice!H56+leonor!H56+juvencio!H56+jose!H56+G55</f>
        <v>3158100.0000000005</v>
      </c>
    </row>
    <row r="59" spans="1:10" x14ac:dyDescent="0.2">
      <c r="H59" s="60"/>
    </row>
    <row r="60" spans="1:10" x14ac:dyDescent="0.2">
      <c r="H60" s="60"/>
    </row>
    <row r="61" spans="1:10" x14ac:dyDescent="0.2">
      <c r="H61" s="60"/>
    </row>
  </sheetData>
  <mergeCells count="1">
    <mergeCell ref="C4:H4"/>
  </mergeCells>
  <phoneticPr fontId="0" type="noConversion"/>
  <pageMargins left="0.23622047244094488" right="0.23622047244094488" top="0.74803149606299213" bottom="0.74803149606299213" header="0.31496062992125984" footer="0.31496062992125984"/>
  <pageSetup paperSize="9" scale="71" orientation="portrait" r:id="rId1"/>
  <headerFooter alignWithMargins="0"/>
  <ignoredErrors>
    <ignoredError sqref="A7 A22:A24 A19 A47:A55 A36:A37 H2:H3 A13:A14 A17 A34:A35 A11 A9 A21 A30:A31" numberStoredAsText="1"/>
    <ignoredError sqref="H58 E47 E30 E24 E21 E9 E34 E8 E35:E46 E10:E16 E22:E23 E25:E29 E31:E33 E48:E55 J8 J9:J55 E18:E2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showGridLines="0" showZeros="0" zoomScaleSheetLayoutView="100" workbookViewId="0">
      <selection activeCell="C4" sqref="C4:H4"/>
    </sheetView>
  </sheetViews>
  <sheetFormatPr defaultColWidth="21.6640625" defaultRowHeight="12.75" x14ac:dyDescent="0.2"/>
  <cols>
    <col min="1" max="1" width="12.5" style="39" customWidth="1"/>
    <col min="2" max="2" width="12.33203125" style="39" customWidth="1"/>
    <col min="3" max="3" width="87.83203125" style="19" customWidth="1"/>
    <col min="4" max="4" width="6.5" style="19" customWidth="1"/>
    <col min="5" max="5" width="12.83203125" style="19" customWidth="1"/>
    <col min="6" max="6" width="12.1640625" style="19" customWidth="1"/>
    <col min="7" max="8" width="16" style="19" customWidth="1"/>
    <col min="9" max="11" width="17.1640625" style="19" customWidth="1"/>
    <col min="12" max="16384" width="21.6640625" style="19"/>
  </cols>
  <sheetData>
    <row r="1" spans="1:11" s="24" customFormat="1" ht="20.100000000000001" customHeight="1" thickBot="1" x14ac:dyDescent="0.25">
      <c r="A1" s="40" t="s">
        <v>13</v>
      </c>
      <c r="B1" s="1"/>
      <c r="C1" s="2"/>
      <c r="D1" s="3"/>
      <c r="E1" s="3"/>
      <c r="F1" s="3"/>
      <c r="G1" s="2"/>
      <c r="H1" s="2"/>
    </row>
    <row r="2" spans="1:11" s="24" customFormat="1" ht="15" customHeight="1" x14ac:dyDescent="0.2">
      <c r="A2" s="41" t="s">
        <v>60</v>
      </c>
      <c r="B2" s="25"/>
      <c r="C2" s="42" t="s">
        <v>104</v>
      </c>
      <c r="D2" s="43"/>
      <c r="E2" s="43"/>
      <c r="F2" s="43"/>
      <c r="G2" s="56" t="s">
        <v>17</v>
      </c>
      <c r="H2" s="54" t="s">
        <v>129</v>
      </c>
    </row>
    <row r="3" spans="1:11" s="24" customFormat="1" ht="15" customHeight="1" x14ac:dyDescent="0.2">
      <c r="A3" s="44" t="s">
        <v>61</v>
      </c>
      <c r="B3" s="26"/>
      <c r="C3" s="45" t="s">
        <v>84</v>
      </c>
      <c r="D3" s="46"/>
      <c r="E3" s="46"/>
      <c r="F3" s="46"/>
      <c r="G3" s="57" t="s">
        <v>18</v>
      </c>
      <c r="H3" s="55" t="s">
        <v>105</v>
      </c>
    </row>
    <row r="4" spans="1:11" s="24" customFormat="1" ht="30" customHeight="1" thickBot="1" x14ac:dyDescent="0.25">
      <c r="A4" s="47" t="s">
        <v>62</v>
      </c>
      <c r="B4" s="27"/>
      <c r="C4" s="269" t="s">
        <v>135</v>
      </c>
      <c r="D4" s="270"/>
      <c r="E4" s="270"/>
      <c r="F4" s="270"/>
      <c r="G4" s="270"/>
      <c r="H4" s="271"/>
    </row>
    <row r="5" spans="1:11" ht="15" customHeight="1" thickBot="1" x14ac:dyDescent="0.25">
      <c r="A5" s="28" t="s">
        <v>33</v>
      </c>
      <c r="B5" s="29" t="s">
        <v>134</v>
      </c>
      <c r="C5" s="30" t="s">
        <v>12</v>
      </c>
      <c r="D5" s="61" t="s">
        <v>87</v>
      </c>
      <c r="E5" s="4" t="s">
        <v>14</v>
      </c>
      <c r="F5" s="5"/>
      <c r="G5" s="6"/>
      <c r="H5" s="6"/>
    </row>
    <row r="6" spans="1:11" ht="26.1" customHeight="1" thickBot="1" x14ac:dyDescent="0.25">
      <c r="A6" s="65" t="s">
        <v>19</v>
      </c>
      <c r="B6" s="66"/>
      <c r="C6" s="31"/>
      <c r="D6" s="7"/>
      <c r="E6" s="8" t="s">
        <v>101</v>
      </c>
      <c r="F6" s="10" t="s">
        <v>102</v>
      </c>
      <c r="G6" s="9" t="s">
        <v>0</v>
      </c>
      <c r="H6" s="11" t="s">
        <v>15</v>
      </c>
    </row>
    <row r="7" spans="1:11" ht="15" customHeight="1" thickBot="1" x14ac:dyDescent="0.25">
      <c r="A7" s="32" t="s">
        <v>46</v>
      </c>
      <c r="B7" s="33"/>
      <c r="C7" s="52" t="s">
        <v>39</v>
      </c>
      <c r="D7" s="34"/>
      <c r="E7" s="34"/>
      <c r="F7" s="34"/>
      <c r="G7" s="35"/>
      <c r="H7" s="36">
        <f>SUM(G8:G8)</f>
        <v>0</v>
      </c>
    </row>
    <row r="8" spans="1:11" ht="15" customHeight="1" thickBot="1" x14ac:dyDescent="0.25">
      <c r="A8" s="67" t="s">
        <v>10</v>
      </c>
      <c r="B8" s="66" t="s">
        <v>22</v>
      </c>
      <c r="C8" s="62" t="s">
        <v>88</v>
      </c>
      <c r="D8" s="7" t="s">
        <v>5</v>
      </c>
      <c r="E8" s="59"/>
      <c r="F8" s="49">
        <f>resumo!F8</f>
        <v>2282.96</v>
      </c>
      <c r="G8" s="23">
        <f>IF(ISBLANK(E8),0,ROUND(E8*F8,2))</f>
        <v>0</v>
      </c>
      <c r="H8" s="22"/>
      <c r="J8" s="63"/>
      <c r="K8" s="60"/>
    </row>
    <row r="9" spans="1:11" ht="15" customHeight="1" thickBot="1" x14ac:dyDescent="0.25">
      <c r="A9" s="32" t="s">
        <v>21</v>
      </c>
      <c r="B9" s="51"/>
      <c r="C9" s="52" t="s">
        <v>35</v>
      </c>
      <c r="D9" s="34"/>
      <c r="E9" s="34"/>
      <c r="F9" s="34"/>
      <c r="G9" s="35"/>
      <c r="H9" s="36">
        <f>SUM(G10:G12)</f>
        <v>18470.97</v>
      </c>
      <c r="J9" s="63"/>
      <c r="K9" s="60"/>
    </row>
    <row r="10" spans="1:11" ht="15" customHeight="1" x14ac:dyDescent="0.2">
      <c r="A10" s="68">
        <v>400500</v>
      </c>
      <c r="B10" s="69" t="s">
        <v>23</v>
      </c>
      <c r="C10" s="20" t="s">
        <v>115</v>
      </c>
      <c r="D10" s="21" t="s">
        <v>1</v>
      </c>
      <c r="E10" s="59"/>
      <c r="F10" s="49">
        <f>resumo!F10</f>
        <v>117.69</v>
      </c>
      <c r="G10" s="23">
        <f>IF(ISBLANK(E10),0,ROUND(E10*F10,2))</f>
        <v>0</v>
      </c>
      <c r="H10" s="22"/>
      <c r="J10" s="63"/>
      <c r="K10" s="60"/>
    </row>
    <row r="11" spans="1:11" ht="15" customHeight="1" x14ac:dyDescent="0.2">
      <c r="A11" s="68">
        <v>520100</v>
      </c>
      <c r="B11" s="69" t="s">
        <v>23</v>
      </c>
      <c r="C11" s="20" t="s">
        <v>118</v>
      </c>
      <c r="D11" s="21" t="s">
        <v>1</v>
      </c>
      <c r="E11" s="59">
        <v>2118.23</v>
      </c>
      <c r="F11" s="49">
        <f>resumo!F11</f>
        <v>8.7200000000000006</v>
      </c>
      <c r="G11" s="23">
        <f>IF(ISBLANK(E11),0,ROUND(E11*F11,2))</f>
        <v>18470.97</v>
      </c>
      <c r="H11" s="22"/>
      <c r="J11" s="63"/>
      <c r="K11" s="60"/>
    </row>
    <row r="12" spans="1:11" ht="15" customHeight="1" thickBot="1" x14ac:dyDescent="0.25">
      <c r="A12" s="68">
        <v>404000</v>
      </c>
      <c r="B12" s="69" t="s">
        <v>23</v>
      </c>
      <c r="C12" s="20" t="s">
        <v>114</v>
      </c>
      <c r="D12" s="21" t="s">
        <v>1</v>
      </c>
      <c r="E12" s="59"/>
      <c r="F12" s="49">
        <f>resumo!F12</f>
        <v>13.23</v>
      </c>
      <c r="G12" s="23">
        <f>IF(ISBLANK(E12),0,ROUND(E12*F12,2))</f>
        <v>0</v>
      </c>
      <c r="H12" s="22"/>
      <c r="J12" s="63"/>
      <c r="K12" s="60"/>
    </row>
    <row r="13" spans="1:11" ht="15" customHeight="1" thickBot="1" x14ac:dyDescent="0.25">
      <c r="A13" s="37" t="s">
        <v>24</v>
      </c>
      <c r="B13" s="38"/>
      <c r="C13" s="53" t="s">
        <v>40</v>
      </c>
      <c r="D13" s="34"/>
      <c r="E13" s="64"/>
      <c r="F13" s="34"/>
      <c r="G13" s="35"/>
      <c r="H13" s="36">
        <f>SUM(G14:G16)</f>
        <v>253734.5</v>
      </c>
      <c r="J13" s="63"/>
      <c r="K13" s="60"/>
    </row>
    <row r="14" spans="1:11" ht="15" customHeight="1" x14ac:dyDescent="0.2">
      <c r="A14" s="68">
        <v>511100</v>
      </c>
      <c r="B14" s="69" t="s">
        <v>23</v>
      </c>
      <c r="C14" s="20" t="s">
        <v>89</v>
      </c>
      <c r="D14" s="21" t="s">
        <v>2</v>
      </c>
      <c r="E14" s="59">
        <v>4707.18</v>
      </c>
      <c r="F14" s="49">
        <f>resumo!F14</f>
        <v>3.15</v>
      </c>
      <c r="G14" s="23">
        <f>IF(ISBLANK(E14),0,ROUND(E14*F14,2))</f>
        <v>14827.62</v>
      </c>
      <c r="H14" s="22"/>
      <c r="J14" s="63"/>
      <c r="K14" s="60"/>
    </row>
    <row r="15" spans="1:11" ht="15" customHeight="1" x14ac:dyDescent="0.2">
      <c r="A15" s="68">
        <v>530200</v>
      </c>
      <c r="B15" s="69" t="s">
        <v>23</v>
      </c>
      <c r="C15" s="20" t="s">
        <v>120</v>
      </c>
      <c r="D15" s="21" t="s">
        <v>1</v>
      </c>
      <c r="E15" s="59">
        <v>941.44</v>
      </c>
      <c r="F15" s="49">
        <f>resumo!F15</f>
        <v>137.24</v>
      </c>
      <c r="G15" s="23">
        <f>IF(ISBLANK(E15),0,ROUND(E15*F15,2))</f>
        <v>129203.23</v>
      </c>
      <c r="H15" s="22"/>
      <c r="J15" s="63"/>
      <c r="K15" s="60"/>
    </row>
    <row r="16" spans="1:11" ht="15" customHeight="1" thickBot="1" x14ac:dyDescent="0.25">
      <c r="A16" s="68">
        <v>531000</v>
      </c>
      <c r="B16" s="69" t="s">
        <v>23</v>
      </c>
      <c r="C16" s="20" t="s">
        <v>25</v>
      </c>
      <c r="D16" s="21" t="s">
        <v>1</v>
      </c>
      <c r="E16" s="59">
        <v>706.08</v>
      </c>
      <c r="F16" s="49">
        <f>resumo!F16</f>
        <v>155.37</v>
      </c>
      <c r="G16" s="23">
        <f>IF(ISBLANK(E16),0,ROUND(E16*F16,2))</f>
        <v>109703.65</v>
      </c>
      <c r="H16" s="22"/>
      <c r="J16" s="63"/>
      <c r="K16" s="60"/>
    </row>
    <row r="17" spans="1:11" ht="15" customHeight="1" thickBot="1" x14ac:dyDescent="0.25">
      <c r="A17" s="37" t="s">
        <v>26</v>
      </c>
      <c r="B17" s="38"/>
      <c r="C17" s="53" t="s">
        <v>36</v>
      </c>
      <c r="D17" s="34"/>
      <c r="E17" s="64"/>
      <c r="F17" s="34"/>
      <c r="G17" s="35"/>
      <c r="H17" s="36">
        <f>SUM(G18:G20)</f>
        <v>230902.14</v>
      </c>
      <c r="J17" s="63"/>
      <c r="K17" s="60"/>
    </row>
    <row r="18" spans="1:11" ht="15" customHeight="1" x14ac:dyDescent="0.2">
      <c r="A18" s="70" t="s">
        <v>99</v>
      </c>
      <c r="B18" s="71" t="s">
        <v>23</v>
      </c>
      <c r="C18" s="20" t="s">
        <v>100</v>
      </c>
      <c r="D18" s="21" t="s">
        <v>2</v>
      </c>
      <c r="E18" s="59">
        <v>4426.6899999999996</v>
      </c>
      <c r="F18" s="49">
        <f>resumo!F18</f>
        <v>3.9</v>
      </c>
      <c r="G18" s="23">
        <f>IF(ISBLANK(E18),0,ROUND(E18*F18,2))</f>
        <v>17264.09</v>
      </c>
      <c r="H18" s="22"/>
      <c r="J18" s="63"/>
      <c r="K18" s="60"/>
    </row>
    <row r="19" spans="1:11" ht="15" customHeight="1" x14ac:dyDescent="0.2">
      <c r="A19" s="70">
        <v>561100</v>
      </c>
      <c r="B19" s="71" t="s">
        <v>23</v>
      </c>
      <c r="C19" s="20" t="s">
        <v>97</v>
      </c>
      <c r="D19" s="21" t="s">
        <v>2</v>
      </c>
      <c r="E19" s="59">
        <v>4426.6899999999996</v>
      </c>
      <c r="F19" s="49">
        <f>resumo!F19</f>
        <v>1.41</v>
      </c>
      <c r="G19" s="23">
        <f>IF(ISBLANK(E19),0,ROUND(E19*F19,2))</f>
        <v>6241.63</v>
      </c>
      <c r="H19" s="22"/>
      <c r="J19" s="63"/>
      <c r="K19" s="60"/>
    </row>
    <row r="20" spans="1:11" ht="15" customHeight="1" thickBot="1" x14ac:dyDescent="0.25">
      <c r="A20" s="68">
        <v>570000</v>
      </c>
      <c r="B20" s="69" t="s">
        <v>23</v>
      </c>
      <c r="C20" s="20" t="s">
        <v>85</v>
      </c>
      <c r="D20" s="21" t="s">
        <v>4</v>
      </c>
      <c r="E20" s="59">
        <v>531.20000000000005</v>
      </c>
      <c r="F20" s="49">
        <f>resumo!F20</f>
        <v>390.43</v>
      </c>
      <c r="G20" s="23">
        <f>IF(ISBLANK(E20),0,ROUND(E20*F20,2))</f>
        <v>207396.42</v>
      </c>
      <c r="H20" s="22"/>
      <c r="J20" s="63"/>
      <c r="K20" s="60"/>
    </row>
    <row r="21" spans="1:11" ht="15" customHeight="1" thickBot="1" x14ac:dyDescent="0.25">
      <c r="A21" s="37" t="s">
        <v>20</v>
      </c>
      <c r="B21" s="38"/>
      <c r="C21" s="53" t="s">
        <v>37</v>
      </c>
      <c r="D21" s="34"/>
      <c r="E21" s="34"/>
      <c r="F21" s="34"/>
      <c r="G21" s="35"/>
      <c r="H21" s="36">
        <f>SUM(G22:G23)</f>
        <v>61331.18</v>
      </c>
      <c r="J21" s="63"/>
      <c r="K21" s="60"/>
    </row>
    <row r="22" spans="1:11" ht="15" customHeight="1" x14ac:dyDescent="0.2">
      <c r="A22" s="68">
        <v>810150</v>
      </c>
      <c r="B22" s="69" t="s">
        <v>23</v>
      </c>
      <c r="C22" s="20" t="s">
        <v>28</v>
      </c>
      <c r="D22" s="21" t="s">
        <v>3</v>
      </c>
      <c r="E22" s="59">
        <v>1115</v>
      </c>
      <c r="F22" s="49">
        <f>resumo!F22</f>
        <v>46.56</v>
      </c>
      <c r="G22" s="23">
        <f>IF(ISBLANK(E22),0,ROUND(E22*F22,2))</f>
        <v>51914.400000000001</v>
      </c>
      <c r="H22" s="22"/>
      <c r="I22" s="60"/>
      <c r="J22" s="63"/>
      <c r="K22" s="60"/>
    </row>
    <row r="23" spans="1:11" ht="15" customHeight="1" thickBot="1" x14ac:dyDescent="0.25">
      <c r="A23" s="68">
        <v>810650</v>
      </c>
      <c r="B23" s="69" t="s">
        <v>23</v>
      </c>
      <c r="C23" s="20" t="s">
        <v>29</v>
      </c>
      <c r="D23" s="21" t="s">
        <v>3</v>
      </c>
      <c r="E23" s="59">
        <v>240.9</v>
      </c>
      <c r="F23" s="49">
        <f>resumo!F23</f>
        <v>39.090000000000003</v>
      </c>
      <c r="G23" s="23">
        <f>IF(ISBLANK(E23),0,ROUND(E23*F23,2))</f>
        <v>9416.7800000000007</v>
      </c>
      <c r="H23" s="22"/>
      <c r="J23" s="63"/>
      <c r="K23" s="60"/>
    </row>
    <row r="24" spans="1:11" ht="15" customHeight="1" thickBot="1" x14ac:dyDescent="0.25">
      <c r="A24" s="37" t="s">
        <v>27</v>
      </c>
      <c r="B24" s="38"/>
      <c r="C24" s="53" t="s">
        <v>41</v>
      </c>
      <c r="D24" s="34"/>
      <c r="E24" s="34"/>
      <c r="F24" s="34"/>
      <c r="G24" s="35"/>
      <c r="H24" s="36">
        <f>SUM(G25:G29)</f>
        <v>99694.95</v>
      </c>
      <c r="J24" s="63"/>
      <c r="K24" s="60"/>
    </row>
    <row r="25" spans="1:11" ht="15" customHeight="1" x14ac:dyDescent="0.2">
      <c r="A25" s="68">
        <v>72961</v>
      </c>
      <c r="B25" s="69" t="s">
        <v>22</v>
      </c>
      <c r="C25" s="20" t="s">
        <v>106</v>
      </c>
      <c r="D25" s="21" t="s">
        <v>2</v>
      </c>
      <c r="E25" s="59">
        <v>3358.08</v>
      </c>
      <c r="F25" s="49">
        <f>resumo!F25</f>
        <v>1.52</v>
      </c>
      <c r="G25" s="23">
        <f>IF(ISBLANK(E25),0,ROUND(E25*F25,2))</f>
        <v>5104.28</v>
      </c>
      <c r="H25" s="22"/>
      <c r="J25" s="63"/>
      <c r="K25" s="60"/>
    </row>
    <row r="26" spans="1:11" ht="15" customHeight="1" x14ac:dyDescent="0.2">
      <c r="A26" s="68" t="s">
        <v>107</v>
      </c>
      <c r="B26" s="69" t="s">
        <v>23</v>
      </c>
      <c r="C26" s="20" t="s">
        <v>108</v>
      </c>
      <c r="D26" s="21" t="s">
        <v>2</v>
      </c>
      <c r="E26" s="59">
        <v>2119.56</v>
      </c>
      <c r="F26" s="49">
        <f>resumo!F26</f>
        <v>29.38</v>
      </c>
      <c r="G26" s="23">
        <f t="shared" ref="G26:G29" si="0">IF(ISBLANK(E26),0,ROUND(E26*F26,2))</f>
        <v>62272.67</v>
      </c>
      <c r="H26" s="22"/>
      <c r="J26" s="63"/>
      <c r="K26" s="60"/>
    </row>
    <row r="27" spans="1:11" ht="15" customHeight="1" x14ac:dyDescent="0.2">
      <c r="A27" s="68">
        <v>531000</v>
      </c>
      <c r="B27" s="69" t="s">
        <v>23</v>
      </c>
      <c r="C27" s="20" t="s">
        <v>109</v>
      </c>
      <c r="D27" s="21" t="s">
        <v>1</v>
      </c>
      <c r="E27" s="59">
        <v>105.98</v>
      </c>
      <c r="F27" s="49">
        <f>resumo!F27</f>
        <v>155.37</v>
      </c>
      <c r="G27" s="23">
        <f t="shared" si="0"/>
        <v>16466.11</v>
      </c>
      <c r="H27" s="22"/>
      <c r="J27" s="63"/>
      <c r="K27" s="60"/>
    </row>
    <row r="28" spans="1:11" ht="15" customHeight="1" x14ac:dyDescent="0.2">
      <c r="A28" s="68" t="s">
        <v>43</v>
      </c>
      <c r="B28" s="69" t="s">
        <v>22</v>
      </c>
      <c r="C28" s="20" t="s">
        <v>90</v>
      </c>
      <c r="D28" s="21" t="s">
        <v>2</v>
      </c>
      <c r="E28" s="59">
        <v>1238.52</v>
      </c>
      <c r="F28" s="49">
        <f>resumo!F28</f>
        <v>8.52</v>
      </c>
      <c r="G28" s="23">
        <f t="shared" si="0"/>
        <v>10552.19</v>
      </c>
      <c r="H28" s="22"/>
      <c r="J28" s="63"/>
      <c r="K28" s="60"/>
    </row>
    <row r="29" spans="1:11" ht="15" customHeight="1" thickBot="1" x14ac:dyDescent="0.25">
      <c r="A29" s="68" t="s">
        <v>117</v>
      </c>
      <c r="B29" s="69" t="s">
        <v>23</v>
      </c>
      <c r="C29" s="20" t="s">
        <v>116</v>
      </c>
      <c r="D29" s="21" t="s">
        <v>5</v>
      </c>
      <c r="E29" s="59">
        <v>14</v>
      </c>
      <c r="F29" s="49">
        <f>resumo!F29</f>
        <v>378.55</v>
      </c>
      <c r="G29" s="23">
        <f t="shared" si="0"/>
        <v>5299.7</v>
      </c>
      <c r="H29" s="22"/>
      <c r="J29" s="63"/>
      <c r="K29" s="60"/>
    </row>
    <row r="30" spans="1:11" ht="15" customHeight="1" thickBot="1" x14ac:dyDescent="0.25">
      <c r="A30" s="37" t="s">
        <v>34</v>
      </c>
      <c r="B30" s="38"/>
      <c r="C30" s="53" t="s">
        <v>42</v>
      </c>
      <c r="D30" s="34"/>
      <c r="E30" s="34"/>
      <c r="F30" s="34"/>
      <c r="G30" s="35"/>
      <c r="H30" s="36">
        <f>SUM(G31:G33)</f>
        <v>14707.43</v>
      </c>
      <c r="J30" s="63"/>
      <c r="K30" s="60"/>
    </row>
    <row r="31" spans="1:11" ht="15" customHeight="1" x14ac:dyDescent="0.2">
      <c r="A31" s="68">
        <v>822000</v>
      </c>
      <c r="B31" s="69" t="s">
        <v>23</v>
      </c>
      <c r="C31" s="20" t="s">
        <v>91</v>
      </c>
      <c r="D31" s="21" t="s">
        <v>2</v>
      </c>
      <c r="E31" s="59">
        <v>194.87</v>
      </c>
      <c r="F31" s="49">
        <f>resumo!F31</f>
        <v>28.98</v>
      </c>
      <c r="G31" s="23">
        <f t="shared" ref="G31:G33" si="1">IF(ISBLANK(E31),0,ROUND(E31*F31,2))</f>
        <v>5647.33</v>
      </c>
      <c r="H31" s="22"/>
      <c r="J31" s="63"/>
      <c r="K31" s="60"/>
    </row>
    <row r="32" spans="1:11" ht="15" customHeight="1" x14ac:dyDescent="0.2">
      <c r="A32" s="68" t="s">
        <v>30</v>
      </c>
      <c r="B32" s="69" t="s">
        <v>23</v>
      </c>
      <c r="C32" s="20" t="s">
        <v>92</v>
      </c>
      <c r="D32" s="21" t="s">
        <v>5</v>
      </c>
      <c r="E32" s="59">
        <v>7</v>
      </c>
      <c r="F32" s="49">
        <f>resumo!F32</f>
        <v>645.24</v>
      </c>
      <c r="G32" s="23">
        <f t="shared" si="1"/>
        <v>4516.68</v>
      </c>
      <c r="H32" s="22"/>
      <c r="J32" s="63"/>
      <c r="K32" s="60"/>
    </row>
    <row r="33" spans="1:11" ht="15" customHeight="1" thickBot="1" x14ac:dyDescent="0.25">
      <c r="A33" s="68" t="s">
        <v>86</v>
      </c>
      <c r="B33" s="69" t="s">
        <v>23</v>
      </c>
      <c r="C33" s="20" t="s">
        <v>130</v>
      </c>
      <c r="D33" s="21" t="s">
        <v>5</v>
      </c>
      <c r="E33" s="59">
        <v>7</v>
      </c>
      <c r="F33" s="49">
        <f>resumo!F33</f>
        <v>649.05999999999995</v>
      </c>
      <c r="G33" s="23">
        <f t="shared" si="1"/>
        <v>4543.42</v>
      </c>
      <c r="H33" s="22"/>
      <c r="I33" s="60"/>
      <c r="J33" s="63"/>
      <c r="K33" s="60"/>
    </row>
    <row r="34" spans="1:11" ht="15" customHeight="1" thickBot="1" x14ac:dyDescent="0.25">
      <c r="A34" s="37" t="s">
        <v>126</v>
      </c>
      <c r="B34" s="38"/>
      <c r="C34" s="53" t="s">
        <v>38</v>
      </c>
      <c r="D34" s="34"/>
      <c r="E34" s="34"/>
      <c r="F34" s="34"/>
      <c r="G34" s="35"/>
      <c r="H34" s="36">
        <f>SUM(G35:G46)</f>
        <v>159578.06</v>
      </c>
      <c r="J34" s="63"/>
      <c r="K34" s="60"/>
    </row>
    <row r="35" spans="1:11" ht="15" customHeight="1" x14ac:dyDescent="0.2">
      <c r="A35" s="68">
        <v>600300</v>
      </c>
      <c r="B35" s="69" t="s">
        <v>23</v>
      </c>
      <c r="C35" s="20" t="s">
        <v>93</v>
      </c>
      <c r="D35" s="21" t="s">
        <v>1</v>
      </c>
      <c r="E35" s="59">
        <v>856.32</v>
      </c>
      <c r="F35" s="49">
        <f>resumo!F35</f>
        <v>8.39</v>
      </c>
      <c r="G35" s="23">
        <f t="shared" ref="G35:G46" si="2">IF(ISBLANK(E35),0,ROUND(E35*F35,2))</f>
        <v>7184.52</v>
      </c>
      <c r="H35" s="22"/>
      <c r="J35" s="63"/>
      <c r="K35" s="60"/>
    </row>
    <row r="36" spans="1:11" ht="15" customHeight="1" x14ac:dyDescent="0.2">
      <c r="A36" s="68">
        <v>601200</v>
      </c>
      <c r="B36" s="69" t="s">
        <v>23</v>
      </c>
      <c r="C36" s="20" t="s">
        <v>31</v>
      </c>
      <c r="D36" s="21" t="s">
        <v>1</v>
      </c>
      <c r="E36" s="59">
        <v>711.44</v>
      </c>
      <c r="F36" s="49">
        <f>resumo!F36</f>
        <v>28.97</v>
      </c>
      <c r="G36" s="23">
        <f t="shared" si="2"/>
        <v>20610.419999999998</v>
      </c>
      <c r="H36" s="22"/>
      <c r="J36" s="63"/>
      <c r="K36" s="60"/>
    </row>
    <row r="37" spans="1:11" ht="15" customHeight="1" x14ac:dyDescent="0.2">
      <c r="A37" s="68">
        <v>603900</v>
      </c>
      <c r="B37" s="69" t="s">
        <v>23</v>
      </c>
      <c r="C37" s="18" t="s">
        <v>32</v>
      </c>
      <c r="D37" s="21" t="s">
        <v>1</v>
      </c>
      <c r="E37" s="59"/>
      <c r="F37" s="49">
        <f>resumo!F37</f>
        <v>155.09</v>
      </c>
      <c r="G37" s="23">
        <f t="shared" si="2"/>
        <v>0</v>
      </c>
      <c r="H37" s="22"/>
      <c r="J37" s="63"/>
      <c r="K37" s="60"/>
    </row>
    <row r="38" spans="1:11" ht="15" customHeight="1" x14ac:dyDescent="0.2">
      <c r="A38" s="68">
        <v>620100</v>
      </c>
      <c r="B38" s="69" t="s">
        <v>23</v>
      </c>
      <c r="C38" s="20" t="s">
        <v>128</v>
      </c>
      <c r="D38" s="21" t="s">
        <v>5</v>
      </c>
      <c r="E38" s="59"/>
      <c r="F38" s="49">
        <f>resumo!F38</f>
        <v>1109.92</v>
      </c>
      <c r="G38" s="23">
        <f t="shared" si="2"/>
        <v>0</v>
      </c>
      <c r="H38" s="22"/>
      <c r="I38" s="60"/>
      <c r="J38" s="63"/>
      <c r="K38" s="60"/>
    </row>
    <row r="39" spans="1:11" ht="15" customHeight="1" x14ac:dyDescent="0.2">
      <c r="A39" s="68">
        <v>620300</v>
      </c>
      <c r="B39" s="69" t="s">
        <v>23</v>
      </c>
      <c r="C39" s="20" t="s">
        <v>119</v>
      </c>
      <c r="D39" s="21" t="s">
        <v>5</v>
      </c>
      <c r="E39" s="59"/>
      <c r="F39" s="49">
        <f>resumo!F39</f>
        <v>2198.44</v>
      </c>
      <c r="G39" s="23">
        <f t="shared" si="2"/>
        <v>0</v>
      </c>
      <c r="H39" s="22"/>
      <c r="J39" s="63"/>
      <c r="K39" s="60"/>
    </row>
    <row r="40" spans="1:11" ht="15" customHeight="1" x14ac:dyDescent="0.2">
      <c r="A40" s="68" t="s">
        <v>7</v>
      </c>
      <c r="B40" s="69" t="s">
        <v>23</v>
      </c>
      <c r="C40" s="20" t="s">
        <v>110</v>
      </c>
      <c r="D40" s="21" t="s">
        <v>3</v>
      </c>
      <c r="E40" s="59">
        <v>290</v>
      </c>
      <c r="F40" s="49">
        <f>resumo!F40</f>
        <v>81.84</v>
      </c>
      <c r="G40" s="23">
        <f t="shared" si="2"/>
        <v>23733.599999999999</v>
      </c>
      <c r="H40" s="22"/>
      <c r="I40" s="60"/>
      <c r="J40" s="63"/>
      <c r="K40" s="60"/>
    </row>
    <row r="41" spans="1:11" ht="15" customHeight="1" x14ac:dyDescent="0.2">
      <c r="A41" s="68" t="s">
        <v>8</v>
      </c>
      <c r="B41" s="69" t="s">
        <v>23</v>
      </c>
      <c r="C41" s="20" t="s">
        <v>111</v>
      </c>
      <c r="D41" s="21" t="s">
        <v>3</v>
      </c>
      <c r="E41" s="59">
        <v>106</v>
      </c>
      <c r="F41" s="49">
        <f>resumo!F41</f>
        <v>141.69</v>
      </c>
      <c r="G41" s="23">
        <f t="shared" si="2"/>
        <v>15019.14</v>
      </c>
      <c r="H41" s="22"/>
      <c r="J41" s="63"/>
      <c r="K41" s="60"/>
    </row>
    <row r="42" spans="1:11" ht="15" customHeight="1" x14ac:dyDescent="0.2">
      <c r="A42" s="68" t="s">
        <v>9</v>
      </c>
      <c r="B42" s="69" t="s">
        <v>23</v>
      </c>
      <c r="C42" s="20" t="s">
        <v>122</v>
      </c>
      <c r="D42" s="21" t="s">
        <v>3</v>
      </c>
      <c r="E42" s="59">
        <v>155</v>
      </c>
      <c r="F42" s="49">
        <f>resumo!F42</f>
        <v>124.26</v>
      </c>
      <c r="G42" s="23">
        <f t="shared" si="2"/>
        <v>19260.3</v>
      </c>
      <c r="H42" s="22"/>
      <c r="J42" s="63"/>
      <c r="K42" s="60"/>
    </row>
    <row r="43" spans="1:11" ht="15" customHeight="1" x14ac:dyDescent="0.2">
      <c r="A43" s="68" t="s">
        <v>112</v>
      </c>
      <c r="B43" s="69" t="s">
        <v>23</v>
      </c>
      <c r="C43" s="20" t="s">
        <v>123</v>
      </c>
      <c r="D43" s="21" t="s">
        <v>3</v>
      </c>
      <c r="E43" s="59">
        <v>52</v>
      </c>
      <c r="F43" s="49">
        <f>resumo!F43</f>
        <v>188.04</v>
      </c>
      <c r="G43" s="23">
        <f t="shared" si="2"/>
        <v>9778.08</v>
      </c>
      <c r="H43" s="22"/>
      <c r="J43" s="63"/>
      <c r="K43" s="60"/>
    </row>
    <row r="44" spans="1:11" ht="15" customHeight="1" x14ac:dyDescent="0.2">
      <c r="A44" s="68" t="s">
        <v>113</v>
      </c>
      <c r="B44" s="69" t="s">
        <v>23</v>
      </c>
      <c r="C44" s="20" t="s">
        <v>124</v>
      </c>
      <c r="D44" s="21" t="s">
        <v>3</v>
      </c>
      <c r="E44" s="59"/>
      <c r="F44" s="49">
        <f>resumo!F44</f>
        <v>302.02</v>
      </c>
      <c r="G44" s="23">
        <f t="shared" si="2"/>
        <v>0</v>
      </c>
      <c r="H44" s="22"/>
      <c r="J44" s="63"/>
      <c r="K44" s="60"/>
    </row>
    <row r="45" spans="1:11" ht="15" customHeight="1" x14ac:dyDescent="0.2">
      <c r="A45" s="68" t="s">
        <v>121</v>
      </c>
      <c r="B45" s="69" t="s">
        <v>23</v>
      </c>
      <c r="C45" s="20" t="s">
        <v>125</v>
      </c>
      <c r="D45" s="21" t="s">
        <v>3</v>
      </c>
      <c r="E45" s="59"/>
      <c r="F45" s="49">
        <f>resumo!F45</f>
        <v>428.92</v>
      </c>
      <c r="G45" s="23">
        <f t="shared" si="2"/>
        <v>0</v>
      </c>
      <c r="H45" s="22"/>
      <c r="J45" s="63"/>
      <c r="K45" s="60"/>
    </row>
    <row r="46" spans="1:11" ht="15" customHeight="1" thickBot="1" x14ac:dyDescent="0.25">
      <c r="A46" s="68" t="s">
        <v>6</v>
      </c>
      <c r="B46" s="69" t="s">
        <v>23</v>
      </c>
      <c r="C46" s="20" t="s">
        <v>94</v>
      </c>
      <c r="D46" s="21" t="s">
        <v>5</v>
      </c>
      <c r="E46" s="59">
        <v>38</v>
      </c>
      <c r="F46" s="49">
        <f>resumo!F46</f>
        <v>1684</v>
      </c>
      <c r="G46" s="23">
        <f t="shared" si="2"/>
        <v>63992</v>
      </c>
      <c r="H46" s="22"/>
      <c r="J46" s="63"/>
      <c r="K46" s="60"/>
    </row>
    <row r="47" spans="1:11" ht="54.95" customHeight="1" thickBot="1" x14ac:dyDescent="0.25">
      <c r="A47" s="37" t="s">
        <v>127</v>
      </c>
      <c r="B47" s="38"/>
      <c r="C47" s="58" t="s">
        <v>103</v>
      </c>
      <c r="D47" s="34" t="s">
        <v>98</v>
      </c>
      <c r="E47" s="34"/>
      <c r="F47" s="34"/>
      <c r="G47" s="35"/>
      <c r="H47" s="36">
        <f>SUM(G48:G55)</f>
        <v>3348.48</v>
      </c>
      <c r="J47" s="63"/>
    </row>
    <row r="48" spans="1:11" ht="27.95" customHeight="1" x14ac:dyDescent="0.2">
      <c r="A48" s="68" t="s">
        <v>47</v>
      </c>
      <c r="B48" s="69" t="s">
        <v>22</v>
      </c>
      <c r="C48" s="20" t="s">
        <v>48</v>
      </c>
      <c r="D48" s="21" t="s">
        <v>5</v>
      </c>
      <c r="E48" s="59">
        <v>6</v>
      </c>
      <c r="F48" s="49">
        <f>resumo!F48</f>
        <v>58.05</v>
      </c>
      <c r="G48" s="23">
        <f t="shared" ref="G48:G55" si="3">IF(ISBLANK(E48),0,ROUND(E48*F48,2))</f>
        <v>348.3</v>
      </c>
      <c r="H48" s="22"/>
      <c r="J48" s="63"/>
    </row>
    <row r="49" spans="1:10" ht="27.95" customHeight="1" x14ac:dyDescent="0.2">
      <c r="A49" s="68" t="s">
        <v>47</v>
      </c>
      <c r="B49" s="69" t="s">
        <v>22</v>
      </c>
      <c r="C49" s="20" t="s">
        <v>49</v>
      </c>
      <c r="D49" s="21" t="s">
        <v>5</v>
      </c>
      <c r="E49" s="59">
        <v>12</v>
      </c>
      <c r="F49" s="49">
        <f>resumo!F49</f>
        <v>58.05</v>
      </c>
      <c r="G49" s="23">
        <f t="shared" si="3"/>
        <v>696.6</v>
      </c>
      <c r="H49" s="22"/>
      <c r="J49" s="63"/>
    </row>
    <row r="50" spans="1:10" ht="15" customHeight="1" x14ac:dyDescent="0.2">
      <c r="A50" s="68" t="s">
        <v>50</v>
      </c>
      <c r="B50" s="69" t="s">
        <v>22</v>
      </c>
      <c r="C50" s="20" t="s">
        <v>51</v>
      </c>
      <c r="D50" s="21" t="s">
        <v>5</v>
      </c>
      <c r="E50" s="59">
        <v>6</v>
      </c>
      <c r="F50" s="49">
        <f>resumo!F50</f>
        <v>82.93</v>
      </c>
      <c r="G50" s="23">
        <f t="shared" si="3"/>
        <v>497.58</v>
      </c>
      <c r="H50" s="22"/>
      <c r="J50" s="63"/>
    </row>
    <row r="51" spans="1:10" ht="15" customHeight="1" x14ac:dyDescent="0.2">
      <c r="A51" s="68" t="s">
        <v>52</v>
      </c>
      <c r="B51" s="69" t="s">
        <v>22</v>
      </c>
      <c r="C51" s="18" t="s">
        <v>53</v>
      </c>
      <c r="D51" s="21" t="s">
        <v>5</v>
      </c>
      <c r="E51" s="59">
        <v>6</v>
      </c>
      <c r="F51" s="49">
        <f>resumo!F51</f>
        <v>124.4</v>
      </c>
      <c r="G51" s="23">
        <f t="shared" si="3"/>
        <v>746.4</v>
      </c>
      <c r="H51" s="22"/>
      <c r="J51" s="63"/>
    </row>
    <row r="52" spans="1:10" ht="15" customHeight="1" x14ac:dyDescent="0.2">
      <c r="A52" s="68" t="s">
        <v>54</v>
      </c>
      <c r="B52" s="69" t="s">
        <v>22</v>
      </c>
      <c r="C52" s="20" t="s">
        <v>55</v>
      </c>
      <c r="D52" s="21" t="s">
        <v>5</v>
      </c>
      <c r="E52" s="59">
        <v>6</v>
      </c>
      <c r="F52" s="49">
        <f>resumo!F52</f>
        <v>74.63</v>
      </c>
      <c r="G52" s="23">
        <f t="shared" si="3"/>
        <v>447.78</v>
      </c>
      <c r="H52" s="22"/>
      <c r="J52" s="63"/>
    </row>
    <row r="53" spans="1:10" ht="15" customHeight="1" x14ac:dyDescent="0.2">
      <c r="A53" s="68" t="s">
        <v>56</v>
      </c>
      <c r="B53" s="69" t="s">
        <v>22</v>
      </c>
      <c r="C53" s="20" t="s">
        <v>57</v>
      </c>
      <c r="D53" s="21" t="s">
        <v>5</v>
      </c>
      <c r="E53" s="59">
        <v>6</v>
      </c>
      <c r="F53" s="49">
        <f>resumo!F53</f>
        <v>60.82</v>
      </c>
      <c r="G53" s="23">
        <f t="shared" si="3"/>
        <v>364.92</v>
      </c>
      <c r="H53" s="22"/>
      <c r="J53" s="63"/>
    </row>
    <row r="54" spans="1:10" ht="15" customHeight="1" x14ac:dyDescent="0.2">
      <c r="A54" s="68"/>
      <c r="B54" s="69" t="s">
        <v>58</v>
      </c>
      <c r="C54" s="20" t="s">
        <v>96</v>
      </c>
      <c r="D54" s="21" t="s">
        <v>5</v>
      </c>
      <c r="E54" s="59">
        <v>6</v>
      </c>
      <c r="F54" s="49">
        <f>resumo!F54</f>
        <v>41.15</v>
      </c>
      <c r="G54" s="23">
        <f t="shared" si="3"/>
        <v>246.9</v>
      </c>
      <c r="H54" s="22"/>
      <c r="J54" s="63"/>
    </row>
    <row r="55" spans="1:10" ht="27.95" customHeight="1" thickBot="1" x14ac:dyDescent="0.25">
      <c r="A55" s="68">
        <v>72872</v>
      </c>
      <c r="B55" s="69" t="s">
        <v>22</v>
      </c>
      <c r="C55" s="20" t="s">
        <v>95</v>
      </c>
      <c r="D55" s="21" t="s">
        <v>59</v>
      </c>
      <c r="E55" s="59"/>
      <c r="F55" s="49">
        <f>resumo!F55</f>
        <v>3043.18</v>
      </c>
      <c r="G55" s="23">
        <f t="shared" si="3"/>
        <v>0</v>
      </c>
      <c r="H55" s="22"/>
      <c r="J55" s="63"/>
    </row>
    <row r="56" spans="1:10" ht="15" customHeight="1" thickBot="1" x14ac:dyDescent="0.25">
      <c r="A56" s="14" t="s">
        <v>11</v>
      </c>
      <c r="B56" s="15"/>
      <c r="C56" s="16" t="s">
        <v>45</v>
      </c>
      <c r="D56" s="13"/>
      <c r="E56" s="17"/>
      <c r="F56" s="17"/>
      <c r="G56" s="12">
        <f>SUBTOTAL(9,G7:G55)</f>
        <v>841767.7100000002</v>
      </c>
      <c r="H56" s="12">
        <f>SUBTOTAL(9,H7:H55)</f>
        <v>841767.71</v>
      </c>
    </row>
    <row r="58" spans="1:10" x14ac:dyDescent="0.2">
      <c r="H58" s="63"/>
    </row>
    <row r="59" spans="1:10" x14ac:dyDescent="0.2">
      <c r="H59" s="60"/>
    </row>
    <row r="60" spans="1:10" x14ac:dyDescent="0.2">
      <c r="H60" s="60"/>
    </row>
    <row r="61" spans="1:10" x14ac:dyDescent="0.2">
      <c r="H61" s="60"/>
    </row>
  </sheetData>
  <mergeCells count="1">
    <mergeCell ref="C4:H4"/>
  </mergeCells>
  <pageMargins left="0.25" right="0.25" top="0.75" bottom="0.75" header="0.3" footer="0.3"/>
  <pageSetup paperSize="9" scale="71" orientation="portrait" r:id="rId1"/>
  <headerFooter alignWithMargins="0"/>
  <ignoredErrors>
    <ignoredError sqref="F8:F55" unlockedFormula="1"/>
    <ignoredError sqref="H2:H3 A7:A4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showGridLines="0" showZeros="0" topLeftCell="B1" zoomScaleSheetLayoutView="100" workbookViewId="0">
      <selection activeCell="C4" sqref="C4:H4"/>
    </sheetView>
  </sheetViews>
  <sheetFormatPr defaultColWidth="21.6640625" defaultRowHeight="12.75" x14ac:dyDescent="0.2"/>
  <cols>
    <col min="1" max="1" width="12.5" style="39" customWidth="1"/>
    <col min="2" max="2" width="12.33203125" style="39" customWidth="1"/>
    <col min="3" max="3" width="87.83203125" style="19" customWidth="1"/>
    <col min="4" max="4" width="6.5" style="19" customWidth="1"/>
    <col min="5" max="5" width="12.83203125" style="19" customWidth="1"/>
    <col min="6" max="6" width="12.1640625" style="19" customWidth="1"/>
    <col min="7" max="8" width="16" style="19" customWidth="1"/>
    <col min="9" max="11" width="17.1640625" style="19" customWidth="1"/>
    <col min="12" max="16384" width="21.6640625" style="19"/>
  </cols>
  <sheetData>
    <row r="1" spans="1:11" s="24" customFormat="1" ht="20.100000000000001" customHeight="1" thickBot="1" x14ac:dyDescent="0.25">
      <c r="A1" s="40" t="s">
        <v>13</v>
      </c>
      <c r="B1" s="1"/>
      <c r="C1" s="2"/>
      <c r="D1" s="3"/>
      <c r="E1" s="3"/>
      <c r="F1" s="3"/>
      <c r="G1" s="2"/>
      <c r="H1" s="2"/>
    </row>
    <row r="2" spans="1:11" s="24" customFormat="1" ht="15" customHeight="1" x14ac:dyDescent="0.2">
      <c r="A2" s="41" t="s">
        <v>60</v>
      </c>
      <c r="B2" s="25"/>
      <c r="C2" s="42" t="s">
        <v>104</v>
      </c>
      <c r="D2" s="43"/>
      <c r="E2" s="43"/>
      <c r="F2" s="43"/>
      <c r="G2" s="56" t="s">
        <v>17</v>
      </c>
      <c r="H2" s="54" t="s">
        <v>129</v>
      </c>
    </row>
    <row r="3" spans="1:11" s="24" customFormat="1" ht="15" customHeight="1" x14ac:dyDescent="0.2">
      <c r="A3" s="44" t="s">
        <v>61</v>
      </c>
      <c r="B3" s="26"/>
      <c r="C3" s="45" t="s">
        <v>84</v>
      </c>
      <c r="D3" s="46"/>
      <c r="E3" s="46"/>
      <c r="F3" s="46"/>
      <c r="G3" s="57" t="s">
        <v>18</v>
      </c>
      <c r="H3" s="55" t="s">
        <v>105</v>
      </c>
    </row>
    <row r="4" spans="1:11" s="24" customFormat="1" ht="30" customHeight="1" thickBot="1" x14ac:dyDescent="0.25">
      <c r="A4" s="47" t="s">
        <v>62</v>
      </c>
      <c r="B4" s="27"/>
      <c r="C4" s="269" t="s">
        <v>133</v>
      </c>
      <c r="D4" s="270"/>
      <c r="E4" s="270"/>
      <c r="F4" s="270"/>
      <c r="G4" s="270"/>
      <c r="H4" s="271"/>
    </row>
    <row r="5" spans="1:11" ht="15" customHeight="1" thickBot="1" x14ac:dyDescent="0.25">
      <c r="A5" s="28" t="s">
        <v>33</v>
      </c>
      <c r="B5" s="29" t="s">
        <v>134</v>
      </c>
      <c r="C5" s="30" t="s">
        <v>12</v>
      </c>
      <c r="D5" s="61" t="s">
        <v>87</v>
      </c>
      <c r="E5" s="4" t="s">
        <v>14</v>
      </c>
      <c r="F5" s="5"/>
      <c r="G5" s="6"/>
      <c r="H5" s="6"/>
    </row>
    <row r="6" spans="1:11" ht="26.1" customHeight="1" thickBot="1" x14ac:dyDescent="0.25">
      <c r="A6" s="65" t="s">
        <v>19</v>
      </c>
      <c r="B6" s="66"/>
      <c r="C6" s="31"/>
      <c r="D6" s="7"/>
      <c r="E6" s="8" t="s">
        <v>101</v>
      </c>
      <c r="F6" s="10" t="s">
        <v>102</v>
      </c>
      <c r="G6" s="9" t="s">
        <v>0</v>
      </c>
      <c r="H6" s="11" t="s">
        <v>15</v>
      </c>
    </row>
    <row r="7" spans="1:11" ht="15" customHeight="1" thickBot="1" x14ac:dyDescent="0.25">
      <c r="A7" s="32" t="s">
        <v>46</v>
      </c>
      <c r="B7" s="33"/>
      <c r="C7" s="52" t="s">
        <v>39</v>
      </c>
      <c r="D7" s="34"/>
      <c r="E7" s="34"/>
      <c r="F7" s="34"/>
      <c r="G7" s="35"/>
      <c r="H7" s="36">
        <f>SUM(G8:G8)</f>
        <v>4565.92</v>
      </c>
    </row>
    <row r="8" spans="1:11" ht="15" customHeight="1" thickBot="1" x14ac:dyDescent="0.25">
      <c r="A8" s="67" t="s">
        <v>10</v>
      </c>
      <c r="B8" s="66" t="s">
        <v>22</v>
      </c>
      <c r="C8" s="62" t="s">
        <v>88</v>
      </c>
      <c r="D8" s="7" t="s">
        <v>5</v>
      </c>
      <c r="E8" s="59">
        <v>2</v>
      </c>
      <c r="F8" s="49">
        <f>resumo!F8</f>
        <v>2282.96</v>
      </c>
      <c r="G8" s="23">
        <f>IF(ISBLANK(E8),0,ROUND(E8*F8,2))</f>
        <v>4565.92</v>
      </c>
      <c r="H8" s="22"/>
      <c r="J8" s="63"/>
      <c r="K8" s="60"/>
    </row>
    <row r="9" spans="1:11" ht="15" customHeight="1" thickBot="1" x14ac:dyDescent="0.25">
      <c r="A9" s="32" t="s">
        <v>21</v>
      </c>
      <c r="B9" s="51"/>
      <c r="C9" s="52" t="s">
        <v>35</v>
      </c>
      <c r="D9" s="34"/>
      <c r="E9" s="34"/>
      <c r="F9" s="34"/>
      <c r="G9" s="35"/>
      <c r="H9" s="36">
        <f>SUM(G10:G12)</f>
        <v>21763.89</v>
      </c>
      <c r="J9" s="63"/>
      <c r="K9" s="60"/>
    </row>
    <row r="10" spans="1:11" ht="15" customHeight="1" x14ac:dyDescent="0.2">
      <c r="A10" s="68">
        <v>400500</v>
      </c>
      <c r="B10" s="69" t="s">
        <v>23</v>
      </c>
      <c r="C10" s="20" t="s">
        <v>115</v>
      </c>
      <c r="D10" s="21" t="s">
        <v>1</v>
      </c>
      <c r="E10" s="59"/>
      <c r="F10" s="49">
        <f>resumo!F10</f>
        <v>117.69</v>
      </c>
      <c r="G10" s="23">
        <f>IF(ISBLANK(E10),0,ROUND(E10*F10,2))</f>
        <v>0</v>
      </c>
      <c r="H10" s="22"/>
      <c r="J10" s="63"/>
      <c r="K10" s="60"/>
    </row>
    <row r="11" spans="1:11" ht="15" customHeight="1" x14ac:dyDescent="0.2">
      <c r="A11" s="68">
        <v>520100</v>
      </c>
      <c r="B11" s="69" t="s">
        <v>23</v>
      </c>
      <c r="C11" s="20" t="s">
        <v>118</v>
      </c>
      <c r="D11" s="21" t="s">
        <v>1</v>
      </c>
      <c r="E11" s="59">
        <v>2495.86</v>
      </c>
      <c r="F11" s="49">
        <f>resumo!F11</f>
        <v>8.7200000000000006</v>
      </c>
      <c r="G11" s="23">
        <f>IF(ISBLANK(E11),0,ROUNDDOWN(E11*F11,2))</f>
        <v>21763.89</v>
      </c>
      <c r="H11" s="22"/>
      <c r="J11" s="63"/>
      <c r="K11" s="60"/>
    </row>
    <row r="12" spans="1:11" ht="15" customHeight="1" thickBot="1" x14ac:dyDescent="0.25">
      <c r="A12" s="68">
        <v>404000</v>
      </c>
      <c r="B12" s="69" t="s">
        <v>23</v>
      </c>
      <c r="C12" s="20" t="s">
        <v>114</v>
      </c>
      <c r="D12" s="21" t="s">
        <v>1</v>
      </c>
      <c r="E12" s="59"/>
      <c r="F12" s="49">
        <f>resumo!F12</f>
        <v>13.23</v>
      </c>
      <c r="G12" s="23">
        <f>IF(ISBLANK(E12),0,ROUND(E12*F12,2))</f>
        <v>0</v>
      </c>
      <c r="H12" s="22"/>
      <c r="J12" s="63"/>
      <c r="K12" s="60"/>
    </row>
    <row r="13" spans="1:11" ht="15" customHeight="1" thickBot="1" x14ac:dyDescent="0.25">
      <c r="A13" s="37" t="s">
        <v>24</v>
      </c>
      <c r="B13" s="38"/>
      <c r="C13" s="53" t="s">
        <v>40</v>
      </c>
      <c r="D13" s="34"/>
      <c r="E13" s="64"/>
      <c r="F13" s="34"/>
      <c r="G13" s="35"/>
      <c r="H13" s="36">
        <f>SUM(G14:G16)</f>
        <v>298967.31</v>
      </c>
      <c r="J13" s="63"/>
      <c r="K13" s="60"/>
    </row>
    <row r="14" spans="1:11" ht="15" customHeight="1" x14ac:dyDescent="0.2">
      <c r="A14" s="68">
        <v>511100</v>
      </c>
      <c r="B14" s="69" t="s">
        <v>23</v>
      </c>
      <c r="C14" s="20" t="s">
        <v>89</v>
      </c>
      <c r="D14" s="21" t="s">
        <v>2</v>
      </c>
      <c r="E14" s="59">
        <v>5546.36</v>
      </c>
      <c r="F14" s="49">
        <f>resumo!F14</f>
        <v>3.15</v>
      </c>
      <c r="G14" s="23">
        <f>IF(ISBLANK(E14),0,ROUND(E14*F14,2))</f>
        <v>17471.03</v>
      </c>
      <c r="H14" s="22"/>
      <c r="J14" s="63"/>
      <c r="K14" s="60"/>
    </row>
    <row r="15" spans="1:11" ht="15" customHeight="1" x14ac:dyDescent="0.2">
      <c r="A15" s="68">
        <v>530200</v>
      </c>
      <c r="B15" s="69" t="s">
        <v>23</v>
      </c>
      <c r="C15" s="20" t="s">
        <v>120</v>
      </c>
      <c r="D15" s="21" t="s">
        <v>1</v>
      </c>
      <c r="E15" s="59">
        <v>1109.27</v>
      </c>
      <c r="F15" s="49">
        <f>resumo!F15</f>
        <v>137.24</v>
      </c>
      <c r="G15" s="23">
        <f>IF(ISBLANK(E15),0,ROUND(E15*F15,2))</f>
        <v>152236.21</v>
      </c>
      <c r="H15" s="22"/>
      <c r="J15" s="63"/>
      <c r="K15" s="60"/>
    </row>
    <row r="16" spans="1:11" ht="15" customHeight="1" thickBot="1" x14ac:dyDescent="0.25">
      <c r="A16" s="68">
        <v>531000</v>
      </c>
      <c r="B16" s="69" t="s">
        <v>23</v>
      </c>
      <c r="C16" s="20" t="s">
        <v>25</v>
      </c>
      <c r="D16" s="21" t="s">
        <v>1</v>
      </c>
      <c r="E16" s="59">
        <v>831.95</v>
      </c>
      <c r="F16" s="49">
        <f>resumo!F16</f>
        <v>155.37</v>
      </c>
      <c r="G16" s="23">
        <f>IF(ISBLANK(E16),0,ROUND(E16*F16,2))</f>
        <v>129260.07</v>
      </c>
      <c r="H16" s="22"/>
      <c r="J16" s="63"/>
      <c r="K16" s="60"/>
    </row>
    <row r="17" spans="1:11" ht="15" customHeight="1" thickBot="1" x14ac:dyDescent="0.25">
      <c r="A17" s="37" t="s">
        <v>26</v>
      </c>
      <c r="B17" s="38"/>
      <c r="C17" s="53" t="s">
        <v>36</v>
      </c>
      <c r="D17" s="34"/>
      <c r="E17" s="64"/>
      <c r="F17" s="34"/>
      <c r="G17" s="35"/>
      <c r="H17" s="36">
        <f>SUM(G18:G20)</f>
        <v>272727.02999999997</v>
      </c>
      <c r="J17" s="63"/>
      <c r="K17" s="60"/>
    </row>
    <row r="18" spans="1:11" ht="15" customHeight="1" x14ac:dyDescent="0.2">
      <c r="A18" s="70" t="s">
        <v>99</v>
      </c>
      <c r="B18" s="71" t="s">
        <v>23</v>
      </c>
      <c r="C18" s="20" t="s">
        <v>100</v>
      </c>
      <c r="D18" s="21" t="s">
        <v>2</v>
      </c>
      <c r="E18" s="59">
        <v>5228.5200000000004</v>
      </c>
      <c r="F18" s="49">
        <f>resumo!F18</f>
        <v>3.9</v>
      </c>
      <c r="G18" s="23">
        <f>IF(ISBLANK(E18),0,ROUND(E18*F18,2))</f>
        <v>20391.23</v>
      </c>
      <c r="H18" s="22"/>
      <c r="J18" s="63"/>
      <c r="K18" s="60"/>
    </row>
    <row r="19" spans="1:11" ht="15" customHeight="1" x14ac:dyDescent="0.2">
      <c r="A19" s="70">
        <v>561100</v>
      </c>
      <c r="B19" s="71" t="s">
        <v>23</v>
      </c>
      <c r="C19" s="20" t="s">
        <v>97</v>
      </c>
      <c r="D19" s="21" t="s">
        <v>2</v>
      </c>
      <c r="E19" s="59">
        <v>5228.5200000000004</v>
      </c>
      <c r="F19" s="49">
        <f>resumo!F19</f>
        <v>1.41</v>
      </c>
      <c r="G19" s="23">
        <f>IF(ISBLANK(E19),0,ROUND(E19*F19,2))</f>
        <v>7372.21</v>
      </c>
      <c r="H19" s="22"/>
      <c r="J19" s="63"/>
      <c r="K19" s="60"/>
    </row>
    <row r="20" spans="1:11" ht="15" customHeight="1" thickBot="1" x14ac:dyDescent="0.25">
      <c r="A20" s="68">
        <v>570000</v>
      </c>
      <c r="B20" s="69" t="s">
        <v>23</v>
      </c>
      <c r="C20" s="20" t="s">
        <v>85</v>
      </c>
      <c r="D20" s="21" t="s">
        <v>4</v>
      </c>
      <c r="E20" s="59">
        <v>627.41999999999996</v>
      </c>
      <c r="F20" s="49">
        <f>resumo!F20</f>
        <v>390.43</v>
      </c>
      <c r="G20" s="23">
        <f>IF(ISBLANK(E20),0,ROUND(E20*F20,2))</f>
        <v>244963.59</v>
      </c>
      <c r="H20" s="22"/>
      <c r="J20" s="63"/>
      <c r="K20" s="60"/>
    </row>
    <row r="21" spans="1:11" ht="15" customHeight="1" thickBot="1" x14ac:dyDescent="0.25">
      <c r="A21" s="37" t="s">
        <v>20</v>
      </c>
      <c r="B21" s="38"/>
      <c r="C21" s="53" t="s">
        <v>37</v>
      </c>
      <c r="D21" s="34"/>
      <c r="E21" s="34"/>
      <c r="F21" s="34"/>
      <c r="G21" s="35"/>
      <c r="H21" s="36">
        <f>SUM(G22:G23)</f>
        <v>70191.520000000004</v>
      </c>
      <c r="J21" s="63"/>
      <c r="K21" s="60"/>
    </row>
    <row r="22" spans="1:11" ht="15" customHeight="1" x14ac:dyDescent="0.2">
      <c r="A22" s="68">
        <v>810150</v>
      </c>
      <c r="B22" s="69" t="s">
        <v>23</v>
      </c>
      <c r="C22" s="20" t="s">
        <v>28</v>
      </c>
      <c r="D22" s="21" t="s">
        <v>3</v>
      </c>
      <c r="E22" s="59">
        <v>1258.2</v>
      </c>
      <c r="F22" s="49">
        <f>resumo!F22</f>
        <v>46.56</v>
      </c>
      <c r="G22" s="23">
        <f>IF(ISBLANK(E22),0,ROUND(E22*F22,2))</f>
        <v>58581.79</v>
      </c>
      <c r="H22" s="22"/>
      <c r="I22" s="60"/>
      <c r="J22" s="63"/>
      <c r="K22" s="60"/>
    </row>
    <row r="23" spans="1:11" ht="15" customHeight="1" thickBot="1" x14ac:dyDescent="0.25">
      <c r="A23" s="68">
        <v>810650</v>
      </c>
      <c r="B23" s="69" t="s">
        <v>23</v>
      </c>
      <c r="C23" s="20" t="s">
        <v>29</v>
      </c>
      <c r="D23" s="21" t="s">
        <v>3</v>
      </c>
      <c r="E23" s="59">
        <v>297</v>
      </c>
      <c r="F23" s="49">
        <f>resumo!F23</f>
        <v>39.090000000000003</v>
      </c>
      <c r="G23" s="23">
        <f>IF(ISBLANK(E23),0,ROUND(E23*F23,2))</f>
        <v>11609.73</v>
      </c>
      <c r="H23" s="22"/>
      <c r="J23" s="63"/>
      <c r="K23" s="60"/>
    </row>
    <row r="24" spans="1:11" ht="15" customHeight="1" thickBot="1" x14ac:dyDescent="0.25">
      <c r="A24" s="37" t="s">
        <v>27</v>
      </c>
      <c r="B24" s="38"/>
      <c r="C24" s="53" t="s">
        <v>41</v>
      </c>
      <c r="D24" s="34"/>
      <c r="E24" s="34"/>
      <c r="F24" s="34"/>
      <c r="G24" s="35"/>
      <c r="H24" s="36">
        <f>SUM(G25:G29)</f>
        <v>120246.90000000001</v>
      </c>
      <c r="J24" s="63"/>
      <c r="K24" s="60"/>
    </row>
    <row r="25" spans="1:11" ht="15" customHeight="1" x14ac:dyDescent="0.2">
      <c r="A25" s="68">
        <v>72961</v>
      </c>
      <c r="B25" s="69" t="s">
        <v>22</v>
      </c>
      <c r="C25" s="20" t="s">
        <v>106</v>
      </c>
      <c r="D25" s="21" t="s">
        <v>2</v>
      </c>
      <c r="E25" s="59">
        <v>4079.26</v>
      </c>
      <c r="F25" s="49">
        <f>resumo!F25</f>
        <v>1.52</v>
      </c>
      <c r="G25" s="23">
        <f>IF(ISBLANK(E25),0,ROUND(E25*F25,2))</f>
        <v>6200.48</v>
      </c>
      <c r="H25" s="22"/>
      <c r="J25" s="63"/>
      <c r="K25" s="60"/>
    </row>
    <row r="26" spans="1:11" ht="15" customHeight="1" x14ac:dyDescent="0.2">
      <c r="A26" s="68" t="s">
        <v>107</v>
      </c>
      <c r="B26" s="69" t="s">
        <v>23</v>
      </c>
      <c r="C26" s="20" t="s">
        <v>108</v>
      </c>
      <c r="D26" s="21" t="s">
        <v>2</v>
      </c>
      <c r="E26" s="59">
        <v>2505.1999999999998</v>
      </c>
      <c r="F26" s="49">
        <f>resumo!F26</f>
        <v>29.38</v>
      </c>
      <c r="G26" s="23">
        <f t="shared" ref="G26:G29" si="0">IF(ISBLANK(E26),0,ROUND(E26*F26,2))</f>
        <v>73602.78</v>
      </c>
      <c r="H26" s="22"/>
      <c r="J26" s="63"/>
      <c r="K26" s="60"/>
    </row>
    <row r="27" spans="1:11" ht="15" customHeight="1" x14ac:dyDescent="0.2">
      <c r="A27" s="68">
        <v>531000</v>
      </c>
      <c r="B27" s="69" t="s">
        <v>23</v>
      </c>
      <c r="C27" s="20" t="s">
        <v>109</v>
      </c>
      <c r="D27" s="21" t="s">
        <v>1</v>
      </c>
      <c r="E27" s="59">
        <v>125.26</v>
      </c>
      <c r="F27" s="49">
        <f>resumo!F27</f>
        <v>155.37</v>
      </c>
      <c r="G27" s="23">
        <f t="shared" si="0"/>
        <v>19461.650000000001</v>
      </c>
      <c r="H27" s="22"/>
      <c r="J27" s="63"/>
      <c r="K27" s="60"/>
    </row>
    <row r="28" spans="1:11" ht="15" customHeight="1" x14ac:dyDescent="0.2">
      <c r="A28" s="68" t="s">
        <v>43</v>
      </c>
      <c r="B28" s="69" t="s">
        <v>22</v>
      </c>
      <c r="C28" s="20" t="s">
        <v>90</v>
      </c>
      <c r="D28" s="21" t="s">
        <v>2</v>
      </c>
      <c r="E28" s="59">
        <v>1574.06</v>
      </c>
      <c r="F28" s="49">
        <f>resumo!F28</f>
        <v>8.52</v>
      </c>
      <c r="G28" s="23">
        <f t="shared" si="0"/>
        <v>13410.99</v>
      </c>
      <c r="H28" s="22"/>
      <c r="J28" s="63"/>
      <c r="K28" s="60"/>
    </row>
    <row r="29" spans="1:11" ht="15" customHeight="1" thickBot="1" x14ac:dyDescent="0.25">
      <c r="A29" s="68" t="s">
        <v>117</v>
      </c>
      <c r="B29" s="69" t="s">
        <v>23</v>
      </c>
      <c r="C29" s="20" t="s">
        <v>116</v>
      </c>
      <c r="D29" s="21" t="s">
        <v>5</v>
      </c>
      <c r="E29" s="59">
        <v>20</v>
      </c>
      <c r="F29" s="49">
        <f>resumo!F29</f>
        <v>378.55</v>
      </c>
      <c r="G29" s="23">
        <f t="shared" si="0"/>
        <v>7571</v>
      </c>
      <c r="H29" s="22"/>
      <c r="J29" s="63"/>
      <c r="K29" s="60"/>
    </row>
    <row r="30" spans="1:11" ht="15" customHeight="1" thickBot="1" x14ac:dyDescent="0.25">
      <c r="A30" s="37" t="s">
        <v>34</v>
      </c>
      <c r="B30" s="38"/>
      <c r="C30" s="53" t="s">
        <v>42</v>
      </c>
      <c r="D30" s="34"/>
      <c r="E30" s="34"/>
      <c r="F30" s="34"/>
      <c r="G30" s="35"/>
      <c r="H30" s="36">
        <f>SUM(G31:G33)</f>
        <v>16925.62</v>
      </c>
      <c r="J30" s="63"/>
      <c r="K30" s="60"/>
    </row>
    <row r="31" spans="1:11" ht="15" customHeight="1" x14ac:dyDescent="0.2">
      <c r="A31" s="68">
        <v>822000</v>
      </c>
      <c r="B31" s="69" t="s">
        <v>23</v>
      </c>
      <c r="C31" s="20" t="s">
        <v>91</v>
      </c>
      <c r="D31" s="21" t="s">
        <v>2</v>
      </c>
      <c r="E31" s="59">
        <v>226.75</v>
      </c>
      <c r="F31" s="49">
        <f>resumo!F31</f>
        <v>28.98</v>
      </c>
      <c r="G31" s="23">
        <f t="shared" ref="G31:G33" si="1">IF(ISBLANK(E31),0,ROUND(E31*F31,2))</f>
        <v>6571.22</v>
      </c>
      <c r="H31" s="22"/>
      <c r="J31" s="63"/>
      <c r="K31" s="60"/>
    </row>
    <row r="32" spans="1:11" ht="15" customHeight="1" x14ac:dyDescent="0.2">
      <c r="A32" s="68" t="s">
        <v>30</v>
      </c>
      <c r="B32" s="69" t="s">
        <v>23</v>
      </c>
      <c r="C32" s="20" t="s">
        <v>92</v>
      </c>
      <c r="D32" s="21" t="s">
        <v>5</v>
      </c>
      <c r="E32" s="59">
        <v>8</v>
      </c>
      <c r="F32" s="49">
        <f>resumo!F32</f>
        <v>645.24</v>
      </c>
      <c r="G32" s="23">
        <f t="shared" si="1"/>
        <v>5161.92</v>
      </c>
      <c r="H32" s="22"/>
      <c r="J32" s="63"/>
      <c r="K32" s="60"/>
    </row>
    <row r="33" spans="1:11" ht="15" customHeight="1" thickBot="1" x14ac:dyDescent="0.25">
      <c r="A33" s="68" t="s">
        <v>86</v>
      </c>
      <c r="B33" s="69" t="s">
        <v>23</v>
      </c>
      <c r="C33" s="20" t="s">
        <v>130</v>
      </c>
      <c r="D33" s="21" t="s">
        <v>5</v>
      </c>
      <c r="E33" s="59">
        <v>8</v>
      </c>
      <c r="F33" s="49">
        <f>resumo!F33</f>
        <v>649.05999999999995</v>
      </c>
      <c r="G33" s="23">
        <f t="shared" si="1"/>
        <v>5192.4799999999996</v>
      </c>
      <c r="H33" s="22"/>
      <c r="I33" s="60"/>
      <c r="J33" s="63"/>
      <c r="K33" s="60"/>
    </row>
    <row r="34" spans="1:11" ht="15" customHeight="1" thickBot="1" x14ac:dyDescent="0.25">
      <c r="A34" s="37" t="s">
        <v>126</v>
      </c>
      <c r="B34" s="38"/>
      <c r="C34" s="53" t="s">
        <v>38</v>
      </c>
      <c r="D34" s="34"/>
      <c r="E34" s="34"/>
      <c r="F34" s="34"/>
      <c r="G34" s="35"/>
      <c r="H34" s="36">
        <f>SUM(G35:G46)</f>
        <v>231744.04</v>
      </c>
      <c r="J34" s="63"/>
      <c r="K34" s="60"/>
    </row>
    <row r="35" spans="1:11" ht="15" customHeight="1" x14ac:dyDescent="0.2">
      <c r="A35" s="68">
        <v>600300</v>
      </c>
      <c r="B35" s="69" t="s">
        <v>23</v>
      </c>
      <c r="C35" s="20" t="s">
        <v>93</v>
      </c>
      <c r="D35" s="21" t="s">
        <v>1</v>
      </c>
      <c r="E35" s="59">
        <v>1300.1199999999999</v>
      </c>
      <c r="F35" s="49">
        <f>resumo!F35</f>
        <v>8.39</v>
      </c>
      <c r="G35" s="23">
        <f t="shared" ref="G35:G46" si="2">IF(ISBLANK(E35),0,ROUND(E35*F35,2))</f>
        <v>10908.01</v>
      </c>
      <c r="H35" s="22"/>
      <c r="J35" s="63"/>
      <c r="K35" s="60"/>
    </row>
    <row r="36" spans="1:11" ht="15" customHeight="1" x14ac:dyDescent="0.2">
      <c r="A36" s="68">
        <v>601200</v>
      </c>
      <c r="B36" s="69" t="s">
        <v>23</v>
      </c>
      <c r="C36" s="20" t="s">
        <v>31</v>
      </c>
      <c r="D36" s="21" t="s">
        <v>1</v>
      </c>
      <c r="E36" s="59">
        <v>1039.0899999999999</v>
      </c>
      <c r="F36" s="49">
        <f>resumo!F36</f>
        <v>28.97</v>
      </c>
      <c r="G36" s="23">
        <f t="shared" si="2"/>
        <v>30102.44</v>
      </c>
      <c r="H36" s="22"/>
      <c r="J36" s="63"/>
      <c r="K36" s="60"/>
    </row>
    <row r="37" spans="1:11" ht="15" customHeight="1" x14ac:dyDescent="0.2">
      <c r="A37" s="68">
        <v>603900</v>
      </c>
      <c r="B37" s="69" t="s">
        <v>23</v>
      </c>
      <c r="C37" s="18" t="s">
        <v>32</v>
      </c>
      <c r="D37" s="21" t="s">
        <v>1</v>
      </c>
      <c r="E37" s="59">
        <v>35.92</v>
      </c>
      <c r="F37" s="49">
        <f>resumo!F37</f>
        <v>155.09</v>
      </c>
      <c r="G37" s="23">
        <f t="shared" si="2"/>
        <v>5570.83</v>
      </c>
      <c r="H37" s="22"/>
      <c r="J37" s="63"/>
      <c r="K37" s="60"/>
    </row>
    <row r="38" spans="1:11" ht="15" customHeight="1" x14ac:dyDescent="0.2">
      <c r="A38" s="68">
        <v>620100</v>
      </c>
      <c r="B38" s="69" t="s">
        <v>23</v>
      </c>
      <c r="C38" s="20" t="s">
        <v>128</v>
      </c>
      <c r="D38" s="21" t="s">
        <v>5</v>
      </c>
      <c r="E38" s="59"/>
      <c r="F38" s="49">
        <f>resumo!F38</f>
        <v>1109.92</v>
      </c>
      <c r="G38" s="23">
        <f t="shared" si="2"/>
        <v>0</v>
      </c>
      <c r="H38" s="22"/>
      <c r="I38" s="60"/>
      <c r="J38" s="63"/>
      <c r="K38" s="60"/>
    </row>
    <row r="39" spans="1:11" ht="15" customHeight="1" x14ac:dyDescent="0.2">
      <c r="A39" s="68">
        <v>620300</v>
      </c>
      <c r="B39" s="69" t="s">
        <v>23</v>
      </c>
      <c r="C39" s="20" t="s">
        <v>119</v>
      </c>
      <c r="D39" s="21" t="s">
        <v>5</v>
      </c>
      <c r="E39" s="59">
        <v>1</v>
      </c>
      <c r="F39" s="49">
        <f>resumo!F39</f>
        <v>2198.44</v>
      </c>
      <c r="G39" s="23">
        <f t="shared" si="2"/>
        <v>2198.44</v>
      </c>
      <c r="H39" s="22"/>
      <c r="J39" s="63"/>
      <c r="K39" s="60"/>
    </row>
    <row r="40" spans="1:11" ht="15" customHeight="1" x14ac:dyDescent="0.2">
      <c r="A40" s="68" t="s">
        <v>7</v>
      </c>
      <c r="B40" s="69" t="s">
        <v>23</v>
      </c>
      <c r="C40" s="20" t="s">
        <v>110</v>
      </c>
      <c r="D40" s="21" t="s">
        <v>3</v>
      </c>
      <c r="E40" s="59">
        <v>334</v>
      </c>
      <c r="F40" s="49">
        <f>resumo!F40</f>
        <v>81.84</v>
      </c>
      <c r="G40" s="23">
        <f t="shared" si="2"/>
        <v>27334.560000000001</v>
      </c>
      <c r="H40" s="22"/>
      <c r="I40" s="60"/>
      <c r="J40" s="63"/>
      <c r="K40" s="60"/>
    </row>
    <row r="41" spans="1:11" ht="15" customHeight="1" x14ac:dyDescent="0.2">
      <c r="A41" s="68" t="s">
        <v>8</v>
      </c>
      <c r="B41" s="69" t="s">
        <v>23</v>
      </c>
      <c r="C41" s="20" t="s">
        <v>111</v>
      </c>
      <c r="D41" s="21" t="s">
        <v>3</v>
      </c>
      <c r="E41" s="59">
        <v>30</v>
      </c>
      <c r="F41" s="49">
        <f>resumo!F41</f>
        <v>141.69</v>
      </c>
      <c r="G41" s="23">
        <f t="shared" si="2"/>
        <v>4250.7</v>
      </c>
      <c r="H41" s="22"/>
      <c r="J41" s="63"/>
      <c r="K41" s="60"/>
    </row>
    <row r="42" spans="1:11" ht="15" customHeight="1" x14ac:dyDescent="0.2">
      <c r="A42" s="68" t="s">
        <v>9</v>
      </c>
      <c r="B42" s="69" t="s">
        <v>23</v>
      </c>
      <c r="C42" s="20" t="s">
        <v>122</v>
      </c>
      <c r="D42" s="21" t="s">
        <v>3</v>
      </c>
      <c r="E42" s="59">
        <v>143</v>
      </c>
      <c r="F42" s="49">
        <f>resumo!F42</f>
        <v>124.26</v>
      </c>
      <c r="G42" s="23">
        <f t="shared" si="2"/>
        <v>17769.18</v>
      </c>
      <c r="H42" s="22"/>
      <c r="J42" s="63"/>
      <c r="K42" s="60"/>
    </row>
    <row r="43" spans="1:11" ht="15" customHeight="1" x14ac:dyDescent="0.2">
      <c r="A43" s="68" t="s">
        <v>112</v>
      </c>
      <c r="B43" s="69" t="s">
        <v>23</v>
      </c>
      <c r="C43" s="20" t="s">
        <v>123</v>
      </c>
      <c r="D43" s="21" t="s">
        <v>3</v>
      </c>
      <c r="E43" s="59">
        <v>48</v>
      </c>
      <c r="F43" s="49">
        <f>resumo!F43</f>
        <v>188.04</v>
      </c>
      <c r="G43" s="23">
        <f t="shared" si="2"/>
        <v>9025.92</v>
      </c>
      <c r="H43" s="22"/>
      <c r="J43" s="63"/>
      <c r="K43" s="60"/>
    </row>
    <row r="44" spans="1:11" ht="15" customHeight="1" x14ac:dyDescent="0.2">
      <c r="A44" s="68" t="s">
        <v>113</v>
      </c>
      <c r="B44" s="69" t="s">
        <v>23</v>
      </c>
      <c r="C44" s="20" t="s">
        <v>124</v>
      </c>
      <c r="D44" s="21" t="s">
        <v>3</v>
      </c>
      <c r="E44" s="59">
        <v>100</v>
      </c>
      <c r="F44" s="49">
        <f>resumo!F44</f>
        <v>302.02</v>
      </c>
      <c r="G44" s="23">
        <f t="shared" si="2"/>
        <v>30202</v>
      </c>
      <c r="H44" s="22"/>
      <c r="J44" s="63"/>
      <c r="K44" s="60"/>
    </row>
    <row r="45" spans="1:11" ht="15" customHeight="1" x14ac:dyDescent="0.2">
      <c r="A45" s="68" t="s">
        <v>121</v>
      </c>
      <c r="B45" s="69" t="s">
        <v>23</v>
      </c>
      <c r="C45" s="20" t="s">
        <v>125</v>
      </c>
      <c r="D45" s="21" t="s">
        <v>3</v>
      </c>
      <c r="E45" s="59">
        <v>63</v>
      </c>
      <c r="F45" s="49">
        <f>resumo!F45</f>
        <v>428.92</v>
      </c>
      <c r="G45" s="23">
        <f t="shared" si="2"/>
        <v>27021.96</v>
      </c>
      <c r="H45" s="22"/>
      <c r="J45" s="63"/>
      <c r="K45" s="60"/>
    </row>
    <row r="46" spans="1:11" ht="15" customHeight="1" thickBot="1" x14ac:dyDescent="0.25">
      <c r="A46" s="68" t="s">
        <v>6</v>
      </c>
      <c r="B46" s="69" t="s">
        <v>23</v>
      </c>
      <c r="C46" s="20" t="s">
        <v>94</v>
      </c>
      <c r="D46" s="21" t="s">
        <v>5</v>
      </c>
      <c r="E46" s="59">
        <v>40</v>
      </c>
      <c r="F46" s="49">
        <f>resumo!F46</f>
        <v>1684</v>
      </c>
      <c r="G46" s="23">
        <f t="shared" si="2"/>
        <v>67360</v>
      </c>
      <c r="H46" s="22"/>
      <c r="J46" s="63"/>
      <c r="K46" s="60"/>
    </row>
    <row r="47" spans="1:11" ht="54.95" customHeight="1" thickBot="1" x14ac:dyDescent="0.25">
      <c r="A47" s="37" t="s">
        <v>127</v>
      </c>
      <c r="B47" s="38"/>
      <c r="C47" s="58" t="s">
        <v>103</v>
      </c>
      <c r="D47" s="34" t="s">
        <v>98</v>
      </c>
      <c r="E47" s="34"/>
      <c r="F47" s="34"/>
      <c r="G47" s="35"/>
      <c r="H47" s="36">
        <f>SUM(G48:G55)</f>
        <v>3950.48</v>
      </c>
      <c r="J47" s="63"/>
    </row>
    <row r="48" spans="1:11" ht="27.95" customHeight="1" x14ac:dyDescent="0.2">
      <c r="A48" s="68" t="s">
        <v>47</v>
      </c>
      <c r="B48" s="69" t="s">
        <v>22</v>
      </c>
      <c r="C48" s="20" t="s">
        <v>48</v>
      </c>
      <c r="D48" s="21" t="s">
        <v>5</v>
      </c>
      <c r="E48" s="59">
        <v>6</v>
      </c>
      <c r="F48" s="49">
        <f>resumo!F48</f>
        <v>58.05</v>
      </c>
      <c r="G48" s="23">
        <f t="shared" ref="G48:G55" si="3">IF(ISBLANK(E48),0,ROUND(E48*F48,2))</f>
        <v>348.3</v>
      </c>
      <c r="H48" s="22"/>
      <c r="J48" s="63"/>
    </row>
    <row r="49" spans="1:10" ht="27.95" customHeight="1" x14ac:dyDescent="0.2">
      <c r="A49" s="68" t="s">
        <v>47</v>
      </c>
      <c r="B49" s="69" t="s">
        <v>22</v>
      </c>
      <c r="C49" s="20" t="s">
        <v>49</v>
      </c>
      <c r="D49" s="21" t="s">
        <v>5</v>
      </c>
      <c r="E49" s="59">
        <v>12</v>
      </c>
      <c r="F49" s="49">
        <f>resumo!F49</f>
        <v>58.05</v>
      </c>
      <c r="G49" s="23">
        <f t="shared" si="3"/>
        <v>696.6</v>
      </c>
      <c r="H49" s="22"/>
      <c r="J49" s="63"/>
    </row>
    <row r="50" spans="1:10" ht="15" customHeight="1" x14ac:dyDescent="0.2">
      <c r="A50" s="68" t="s">
        <v>50</v>
      </c>
      <c r="B50" s="69" t="s">
        <v>22</v>
      </c>
      <c r="C50" s="20" t="s">
        <v>51</v>
      </c>
      <c r="D50" s="21" t="s">
        <v>5</v>
      </c>
      <c r="E50" s="59">
        <v>6</v>
      </c>
      <c r="F50" s="49">
        <f>resumo!F50</f>
        <v>82.93</v>
      </c>
      <c r="G50" s="23">
        <f t="shared" si="3"/>
        <v>497.58</v>
      </c>
      <c r="H50" s="22"/>
      <c r="J50" s="63"/>
    </row>
    <row r="51" spans="1:10" ht="15" customHeight="1" x14ac:dyDescent="0.2">
      <c r="A51" s="68" t="s">
        <v>52</v>
      </c>
      <c r="B51" s="69" t="s">
        <v>22</v>
      </c>
      <c r="C51" s="18" t="s">
        <v>53</v>
      </c>
      <c r="D51" s="21" t="s">
        <v>5</v>
      </c>
      <c r="E51" s="59">
        <v>8</v>
      </c>
      <c r="F51" s="49">
        <f>resumo!F51</f>
        <v>124.4</v>
      </c>
      <c r="G51" s="23">
        <f t="shared" si="3"/>
        <v>995.2</v>
      </c>
      <c r="H51" s="22"/>
      <c r="J51" s="63"/>
    </row>
    <row r="52" spans="1:10" ht="15" customHeight="1" x14ac:dyDescent="0.2">
      <c r="A52" s="68" t="s">
        <v>54</v>
      </c>
      <c r="B52" s="69" t="s">
        <v>22</v>
      </c>
      <c r="C52" s="20" t="s">
        <v>55</v>
      </c>
      <c r="D52" s="21" t="s">
        <v>5</v>
      </c>
      <c r="E52" s="59">
        <v>8</v>
      </c>
      <c r="F52" s="49">
        <f>resumo!F52</f>
        <v>74.63</v>
      </c>
      <c r="G52" s="23">
        <f t="shared" si="3"/>
        <v>597.04</v>
      </c>
      <c r="H52" s="22"/>
      <c r="J52" s="63"/>
    </row>
    <row r="53" spans="1:10" ht="15" customHeight="1" x14ac:dyDescent="0.2">
      <c r="A53" s="68" t="s">
        <v>56</v>
      </c>
      <c r="B53" s="69" t="s">
        <v>22</v>
      </c>
      <c r="C53" s="20" t="s">
        <v>57</v>
      </c>
      <c r="D53" s="21" t="s">
        <v>5</v>
      </c>
      <c r="E53" s="59">
        <v>8</v>
      </c>
      <c r="F53" s="49">
        <f>resumo!F53</f>
        <v>60.82</v>
      </c>
      <c r="G53" s="23">
        <f t="shared" si="3"/>
        <v>486.56</v>
      </c>
      <c r="H53" s="22"/>
      <c r="J53" s="63"/>
    </row>
    <row r="54" spans="1:10" ht="15" customHeight="1" x14ac:dyDescent="0.2">
      <c r="A54" s="68"/>
      <c r="B54" s="69" t="s">
        <v>58</v>
      </c>
      <c r="C54" s="20" t="s">
        <v>96</v>
      </c>
      <c r="D54" s="21" t="s">
        <v>5</v>
      </c>
      <c r="E54" s="59">
        <v>8</v>
      </c>
      <c r="F54" s="49">
        <f>resumo!F54</f>
        <v>41.15</v>
      </c>
      <c r="G54" s="23">
        <f t="shared" si="3"/>
        <v>329.2</v>
      </c>
      <c r="H54" s="22"/>
      <c r="J54" s="63"/>
    </row>
    <row r="55" spans="1:10" ht="27.95" customHeight="1" thickBot="1" x14ac:dyDescent="0.25">
      <c r="A55" s="68">
        <v>72872</v>
      </c>
      <c r="B55" s="69" t="s">
        <v>22</v>
      </c>
      <c r="C55" s="20" t="s">
        <v>95</v>
      </c>
      <c r="D55" s="21" t="s">
        <v>59</v>
      </c>
      <c r="E55" s="59"/>
      <c r="F55" s="49">
        <f>resumo!F55</f>
        <v>3043.18</v>
      </c>
      <c r="G55" s="23">
        <f t="shared" si="3"/>
        <v>0</v>
      </c>
      <c r="H55" s="22"/>
      <c r="J55" s="63"/>
    </row>
    <row r="56" spans="1:10" ht="15" customHeight="1" thickBot="1" x14ac:dyDescent="0.25">
      <c r="A56" s="14" t="s">
        <v>11</v>
      </c>
      <c r="B56" s="15"/>
      <c r="C56" s="16" t="s">
        <v>45</v>
      </c>
      <c r="D56" s="13"/>
      <c r="E56" s="17"/>
      <c r="F56" s="17"/>
      <c r="G56" s="12">
        <f>SUBTOTAL(9,G7:G55)</f>
        <v>1041082.71</v>
      </c>
      <c r="H56" s="12">
        <f>SUBTOTAL(9,H7:H55)</f>
        <v>1041082.71</v>
      </c>
    </row>
    <row r="58" spans="1:10" x14ac:dyDescent="0.2">
      <c r="H58" s="63"/>
    </row>
    <row r="59" spans="1:10" x14ac:dyDescent="0.2">
      <c r="H59" s="60"/>
    </row>
    <row r="60" spans="1:10" x14ac:dyDescent="0.2">
      <c r="H60" s="60"/>
    </row>
    <row r="61" spans="1:10" x14ac:dyDescent="0.2">
      <c r="H61" s="60"/>
    </row>
  </sheetData>
  <mergeCells count="1">
    <mergeCell ref="C4:H4"/>
  </mergeCells>
  <pageMargins left="0.25" right="0.25" top="0.75" bottom="0.75" header="0.3" footer="0.3"/>
  <pageSetup paperSize="9" scale="71" orientation="portrait" r:id="rId1"/>
  <headerFooter alignWithMargins="0"/>
  <ignoredErrors>
    <ignoredError sqref="H2:H3 A7:A47" numberStoredAsText="1"/>
    <ignoredError sqref="F8:F55" unlockedFormula="1"/>
    <ignoredError sqref="G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showZeros="0" topLeftCell="C1" zoomScaleNormal="100" zoomScaleSheetLayoutView="100" workbookViewId="0">
      <selection activeCell="C4" sqref="C4:H4"/>
    </sheetView>
  </sheetViews>
  <sheetFormatPr defaultColWidth="21.6640625" defaultRowHeight="12.75" x14ac:dyDescent="0.2"/>
  <cols>
    <col min="1" max="1" width="12.5" style="39" customWidth="1"/>
    <col min="2" max="2" width="12.33203125" style="39" customWidth="1"/>
    <col min="3" max="3" width="87.83203125" style="19" customWidth="1"/>
    <col min="4" max="4" width="6.5" style="19" customWidth="1"/>
    <col min="5" max="5" width="12.83203125" style="19" customWidth="1"/>
    <col min="6" max="6" width="12.1640625" style="19" customWidth="1"/>
    <col min="7" max="8" width="16" style="19" customWidth="1"/>
    <col min="9" max="10" width="17.1640625" style="19" customWidth="1"/>
    <col min="11" max="16384" width="21.6640625" style="19"/>
  </cols>
  <sheetData>
    <row r="1" spans="1:10" s="24" customFormat="1" ht="20.100000000000001" customHeight="1" thickBot="1" x14ac:dyDescent="0.25">
      <c r="A1" s="40" t="s">
        <v>13</v>
      </c>
      <c r="B1" s="1"/>
      <c r="C1" s="2"/>
      <c r="D1" s="3"/>
      <c r="E1" s="3"/>
      <c r="F1" s="3"/>
      <c r="G1" s="2"/>
      <c r="H1" s="2"/>
    </row>
    <row r="2" spans="1:10" s="24" customFormat="1" ht="15" customHeight="1" x14ac:dyDescent="0.2">
      <c r="A2" s="41" t="s">
        <v>60</v>
      </c>
      <c r="B2" s="25"/>
      <c r="C2" s="42" t="s">
        <v>104</v>
      </c>
      <c r="D2" s="43"/>
      <c r="E2" s="43"/>
      <c r="F2" s="43"/>
      <c r="G2" s="56" t="s">
        <v>17</v>
      </c>
      <c r="H2" s="54" t="s">
        <v>129</v>
      </c>
    </row>
    <row r="3" spans="1:10" s="24" customFormat="1" ht="15" customHeight="1" x14ac:dyDescent="0.2">
      <c r="A3" s="44" t="s">
        <v>61</v>
      </c>
      <c r="B3" s="26"/>
      <c r="C3" s="45" t="s">
        <v>84</v>
      </c>
      <c r="D3" s="46"/>
      <c r="E3" s="46"/>
      <c r="F3" s="46"/>
      <c r="G3" s="57" t="s">
        <v>18</v>
      </c>
      <c r="H3" s="55" t="s">
        <v>105</v>
      </c>
    </row>
    <row r="4" spans="1:10" s="24" customFormat="1" ht="30" customHeight="1" thickBot="1" x14ac:dyDescent="0.25">
      <c r="A4" s="47" t="s">
        <v>62</v>
      </c>
      <c r="B4" s="27"/>
      <c r="C4" s="269" t="s">
        <v>179</v>
      </c>
      <c r="D4" s="270"/>
      <c r="E4" s="270"/>
      <c r="F4" s="270"/>
      <c r="G4" s="270"/>
      <c r="H4" s="271"/>
    </row>
    <row r="5" spans="1:10" ht="15" customHeight="1" thickBot="1" x14ac:dyDescent="0.25">
      <c r="A5" s="28" t="s">
        <v>33</v>
      </c>
      <c r="B5" s="29" t="s">
        <v>134</v>
      </c>
      <c r="C5" s="30" t="s">
        <v>12</v>
      </c>
      <c r="D5" s="61" t="s">
        <v>87</v>
      </c>
      <c r="E5" s="4" t="s">
        <v>14</v>
      </c>
      <c r="F5" s="5"/>
      <c r="G5" s="6"/>
      <c r="H5" s="6"/>
    </row>
    <row r="6" spans="1:10" ht="26.1" customHeight="1" thickBot="1" x14ac:dyDescent="0.25">
      <c r="A6" s="65" t="s">
        <v>19</v>
      </c>
      <c r="B6" s="66"/>
      <c r="C6" s="31"/>
      <c r="D6" s="7"/>
      <c r="E6" s="8" t="s">
        <v>101</v>
      </c>
      <c r="F6" s="10" t="s">
        <v>102</v>
      </c>
      <c r="G6" s="9" t="s">
        <v>0</v>
      </c>
      <c r="H6" s="11" t="s">
        <v>15</v>
      </c>
    </row>
    <row r="7" spans="1:10" ht="15" customHeight="1" thickBot="1" x14ac:dyDescent="0.25">
      <c r="A7" s="32" t="s">
        <v>46</v>
      </c>
      <c r="B7" s="33"/>
      <c r="C7" s="52" t="s">
        <v>39</v>
      </c>
      <c r="D7" s="34"/>
      <c r="E7" s="34"/>
      <c r="F7" s="34"/>
      <c r="G7" s="35"/>
      <c r="H7" s="36">
        <f>SUM(G8:G8)</f>
        <v>0</v>
      </c>
    </row>
    <row r="8" spans="1:10" ht="15" customHeight="1" thickBot="1" x14ac:dyDescent="0.25">
      <c r="A8" s="67" t="s">
        <v>10</v>
      </c>
      <c r="B8" s="66" t="s">
        <v>22</v>
      </c>
      <c r="C8" s="62" t="s">
        <v>88</v>
      </c>
      <c r="D8" s="7" t="s">
        <v>5</v>
      </c>
      <c r="E8" s="59"/>
      <c r="F8" s="49">
        <f>resumo!F8</f>
        <v>2282.96</v>
      </c>
      <c r="G8" s="23">
        <f>IF(ISBLANK(E8),0,ROUND(E8*F8,2))</f>
        <v>0</v>
      </c>
      <c r="H8" s="22"/>
      <c r="J8" s="60"/>
    </row>
    <row r="9" spans="1:10" ht="15" customHeight="1" thickBot="1" x14ac:dyDescent="0.25">
      <c r="A9" s="32" t="s">
        <v>21</v>
      </c>
      <c r="B9" s="51"/>
      <c r="C9" s="52" t="s">
        <v>35</v>
      </c>
      <c r="D9" s="34"/>
      <c r="E9" s="34"/>
      <c r="F9" s="34"/>
      <c r="G9" s="35"/>
      <c r="H9" s="36">
        <f>SUM(G10:G12)</f>
        <v>11374.98</v>
      </c>
      <c r="J9" s="60"/>
    </row>
    <row r="10" spans="1:10" ht="15" customHeight="1" x14ac:dyDescent="0.2">
      <c r="A10" s="68">
        <v>400500</v>
      </c>
      <c r="B10" s="69" t="s">
        <v>23</v>
      </c>
      <c r="C10" s="20" t="s">
        <v>115</v>
      </c>
      <c r="D10" s="21" t="s">
        <v>1</v>
      </c>
      <c r="E10" s="59"/>
      <c r="F10" s="49">
        <f>resumo!F10</f>
        <v>117.69</v>
      </c>
      <c r="G10" s="23">
        <f>IF(ISBLANK(E10),0,ROUND(E10*F10,2))</f>
        <v>0</v>
      </c>
      <c r="H10" s="22"/>
      <c r="J10" s="60"/>
    </row>
    <row r="11" spans="1:10" ht="15" customHeight="1" x14ac:dyDescent="0.2">
      <c r="A11" s="68">
        <v>520100</v>
      </c>
      <c r="B11" s="69" t="s">
        <v>23</v>
      </c>
      <c r="C11" s="20" t="s">
        <v>118</v>
      </c>
      <c r="D11" s="21" t="s">
        <v>1</v>
      </c>
      <c r="E11" s="59">
        <v>1304.47</v>
      </c>
      <c r="F11" s="49">
        <f>resumo!F11</f>
        <v>8.7200000000000006</v>
      </c>
      <c r="G11" s="23">
        <f>IF(ISBLANK(E11),0,ROUND(E11*F11,2))</f>
        <v>11374.98</v>
      </c>
      <c r="H11" s="22"/>
      <c r="J11" s="60"/>
    </row>
    <row r="12" spans="1:10" ht="15" customHeight="1" thickBot="1" x14ac:dyDescent="0.25">
      <c r="A12" s="68">
        <v>404000</v>
      </c>
      <c r="B12" s="69" t="s">
        <v>23</v>
      </c>
      <c r="C12" s="20" t="s">
        <v>114</v>
      </c>
      <c r="D12" s="21" t="s">
        <v>1</v>
      </c>
      <c r="E12" s="59"/>
      <c r="F12" s="49">
        <f>resumo!F12</f>
        <v>13.23</v>
      </c>
      <c r="G12" s="23">
        <f>IF(ISBLANK(E12),0,ROUND(E12*F12,2))</f>
        <v>0</v>
      </c>
      <c r="H12" s="22"/>
      <c r="J12" s="60"/>
    </row>
    <row r="13" spans="1:10" ht="15" customHeight="1" thickBot="1" x14ac:dyDescent="0.25">
      <c r="A13" s="37" t="s">
        <v>24</v>
      </c>
      <c r="B13" s="38"/>
      <c r="C13" s="53" t="s">
        <v>40</v>
      </c>
      <c r="D13" s="34"/>
      <c r="E13" s="34"/>
      <c r="F13" s="34"/>
      <c r="G13" s="35"/>
      <c r="H13" s="36">
        <f>SUM(G14:G16)</f>
        <v>156255.51999999999</v>
      </c>
      <c r="J13" s="60"/>
    </row>
    <row r="14" spans="1:10" ht="15" customHeight="1" x14ac:dyDescent="0.2">
      <c r="A14" s="68">
        <v>511100</v>
      </c>
      <c r="B14" s="69" t="s">
        <v>23</v>
      </c>
      <c r="C14" s="20" t="s">
        <v>89</v>
      </c>
      <c r="D14" s="21" t="s">
        <v>2</v>
      </c>
      <c r="E14" s="59">
        <v>2898.82</v>
      </c>
      <c r="F14" s="49">
        <f>resumo!F14</f>
        <v>3.15</v>
      </c>
      <c r="G14" s="23">
        <f>IF(ISBLANK(E14),0,ROUND(E14*F14,2))</f>
        <v>9131.2800000000007</v>
      </c>
      <c r="H14" s="22"/>
      <c r="J14" s="60"/>
    </row>
    <row r="15" spans="1:10" ht="15" customHeight="1" x14ac:dyDescent="0.2">
      <c r="A15" s="68">
        <v>530200</v>
      </c>
      <c r="B15" s="69" t="s">
        <v>23</v>
      </c>
      <c r="C15" s="20" t="s">
        <v>120</v>
      </c>
      <c r="D15" s="21" t="s">
        <v>1</v>
      </c>
      <c r="E15" s="59">
        <v>579.76</v>
      </c>
      <c r="F15" s="49">
        <f>resumo!F15</f>
        <v>137.24</v>
      </c>
      <c r="G15" s="23">
        <f>IF(ISBLANK(E15),0,ROUND(E15*F15,2))</f>
        <v>79566.259999999995</v>
      </c>
      <c r="H15" s="22"/>
      <c r="J15" s="60"/>
    </row>
    <row r="16" spans="1:10" ht="15" customHeight="1" thickBot="1" x14ac:dyDescent="0.25">
      <c r="A16" s="68">
        <v>531000</v>
      </c>
      <c r="B16" s="69" t="s">
        <v>23</v>
      </c>
      <c r="C16" s="20" t="s">
        <v>25</v>
      </c>
      <c r="D16" s="21" t="s">
        <v>1</v>
      </c>
      <c r="E16" s="59">
        <v>434.82</v>
      </c>
      <c r="F16" s="49">
        <f>resumo!F16</f>
        <v>155.37</v>
      </c>
      <c r="G16" s="23">
        <f>IF(ISBLANK(E16),0,ROUND(E16*F16,2))</f>
        <v>67557.98</v>
      </c>
      <c r="H16" s="22"/>
      <c r="J16" s="60"/>
    </row>
    <row r="17" spans="1:10" ht="15" customHeight="1" thickBot="1" x14ac:dyDescent="0.25">
      <c r="A17" s="37" t="s">
        <v>26</v>
      </c>
      <c r="B17" s="38"/>
      <c r="C17" s="53" t="s">
        <v>36</v>
      </c>
      <c r="D17" s="34"/>
      <c r="E17" s="64"/>
      <c r="F17" s="34"/>
      <c r="G17" s="35"/>
      <c r="H17" s="36">
        <f>SUM(G18:G20)</f>
        <v>142131.70000000001</v>
      </c>
      <c r="J17" s="60"/>
    </row>
    <row r="18" spans="1:10" ht="15" customHeight="1" x14ac:dyDescent="0.2">
      <c r="A18" s="70" t="s">
        <v>99</v>
      </c>
      <c r="B18" s="71" t="s">
        <v>23</v>
      </c>
      <c r="C18" s="20" t="s">
        <v>100</v>
      </c>
      <c r="D18" s="21" t="s">
        <v>2</v>
      </c>
      <c r="E18" s="59">
        <v>2724.84</v>
      </c>
      <c r="F18" s="49">
        <f>resumo!F18</f>
        <v>3.9</v>
      </c>
      <c r="G18" s="23">
        <f>IF(ISBLANK(E18),0,ROUND(E18*F18,2))</f>
        <v>10626.88</v>
      </c>
      <c r="H18" s="22"/>
      <c r="J18" s="60"/>
    </row>
    <row r="19" spans="1:10" ht="15" customHeight="1" x14ac:dyDescent="0.2">
      <c r="A19" s="70">
        <v>561100</v>
      </c>
      <c r="B19" s="71" t="s">
        <v>23</v>
      </c>
      <c r="C19" s="20" t="s">
        <v>97</v>
      </c>
      <c r="D19" s="21" t="s">
        <v>2</v>
      </c>
      <c r="E19" s="59">
        <v>2724.84</v>
      </c>
      <c r="F19" s="49">
        <f>resumo!F19</f>
        <v>1.41</v>
      </c>
      <c r="G19" s="23">
        <f>IF(ISBLANK(E19),0,ROUND(E19*F19,2))</f>
        <v>3842.02</v>
      </c>
      <c r="H19" s="22"/>
      <c r="J19" s="60"/>
    </row>
    <row r="20" spans="1:10" ht="15" customHeight="1" thickBot="1" x14ac:dyDescent="0.25">
      <c r="A20" s="68">
        <v>570000</v>
      </c>
      <c r="B20" s="69" t="s">
        <v>23</v>
      </c>
      <c r="C20" s="20" t="s">
        <v>85</v>
      </c>
      <c r="D20" s="21" t="s">
        <v>4</v>
      </c>
      <c r="E20" s="59">
        <v>326.98</v>
      </c>
      <c r="F20" s="49">
        <f>resumo!F20</f>
        <v>390.43</v>
      </c>
      <c r="G20" s="23">
        <f>IF(ISBLANK(E20),0,ROUND(E20*F20,2))</f>
        <v>127662.8</v>
      </c>
      <c r="H20" s="22"/>
      <c r="J20" s="60"/>
    </row>
    <row r="21" spans="1:10" ht="15" customHeight="1" thickBot="1" x14ac:dyDescent="0.25">
      <c r="A21" s="37" t="s">
        <v>20</v>
      </c>
      <c r="B21" s="38"/>
      <c r="C21" s="53" t="s">
        <v>37</v>
      </c>
      <c r="D21" s="34"/>
      <c r="E21" s="34"/>
      <c r="F21" s="34"/>
      <c r="G21" s="35"/>
      <c r="H21" s="36">
        <f>SUM(G22:G23)</f>
        <v>37368.47</v>
      </c>
      <c r="J21" s="60"/>
    </row>
    <row r="22" spans="1:10" ht="15" customHeight="1" x14ac:dyDescent="0.2">
      <c r="A22" s="68">
        <v>810150</v>
      </c>
      <c r="B22" s="69" t="s">
        <v>23</v>
      </c>
      <c r="C22" s="20" t="s">
        <v>28</v>
      </c>
      <c r="D22" s="21" t="s">
        <v>3</v>
      </c>
      <c r="E22" s="59">
        <v>656</v>
      </c>
      <c r="F22" s="49">
        <f>resumo!F22</f>
        <v>46.56</v>
      </c>
      <c r="G22" s="23">
        <f>IF(ISBLANK(E22),0,ROUND(E22*F22,2))</f>
        <v>30543.360000000001</v>
      </c>
      <c r="H22" s="22"/>
      <c r="I22" s="60"/>
      <c r="J22" s="60"/>
    </row>
    <row r="23" spans="1:10" ht="15" customHeight="1" thickBot="1" x14ac:dyDescent="0.25">
      <c r="A23" s="68">
        <v>810650</v>
      </c>
      <c r="B23" s="69" t="s">
        <v>23</v>
      </c>
      <c r="C23" s="20" t="s">
        <v>29</v>
      </c>
      <c r="D23" s="21" t="s">
        <v>3</v>
      </c>
      <c r="E23" s="59">
        <v>174.6</v>
      </c>
      <c r="F23" s="49">
        <f>resumo!F23</f>
        <v>39.090000000000003</v>
      </c>
      <c r="G23" s="23">
        <f>IF(ISBLANK(E23),0,ROUND(E23*F23,2))</f>
        <v>6825.11</v>
      </c>
      <c r="H23" s="22"/>
      <c r="J23" s="60"/>
    </row>
    <row r="24" spans="1:10" ht="15" customHeight="1" thickBot="1" x14ac:dyDescent="0.25">
      <c r="A24" s="37" t="s">
        <v>27</v>
      </c>
      <c r="B24" s="38"/>
      <c r="C24" s="53" t="s">
        <v>41</v>
      </c>
      <c r="D24" s="34"/>
      <c r="E24" s="34"/>
      <c r="F24" s="34"/>
      <c r="G24" s="35"/>
      <c r="H24" s="36">
        <f>SUM(G25:G29)</f>
        <v>67738.17</v>
      </c>
      <c r="J24" s="60"/>
    </row>
    <row r="25" spans="1:10" ht="15" customHeight="1" x14ac:dyDescent="0.2">
      <c r="A25" s="68">
        <v>72961</v>
      </c>
      <c r="B25" s="69" t="s">
        <v>22</v>
      </c>
      <c r="C25" s="20" t="s">
        <v>106</v>
      </c>
      <c r="D25" s="21" t="s">
        <v>2</v>
      </c>
      <c r="E25" s="59">
        <v>2286.54</v>
      </c>
      <c r="F25" s="49">
        <f>resumo!F25</f>
        <v>1.52</v>
      </c>
      <c r="G25" s="23">
        <f>IF(ISBLANK(E25),0,ROUND(E25*F25,2))</f>
        <v>3475.54</v>
      </c>
      <c r="H25" s="22"/>
      <c r="J25" s="60"/>
    </row>
    <row r="26" spans="1:10" ht="15" customHeight="1" x14ac:dyDescent="0.2">
      <c r="A26" s="68" t="s">
        <v>107</v>
      </c>
      <c r="B26" s="69" t="s">
        <v>23</v>
      </c>
      <c r="C26" s="20" t="s">
        <v>108</v>
      </c>
      <c r="D26" s="21" t="s">
        <v>2</v>
      </c>
      <c r="E26" s="59">
        <v>1431.99</v>
      </c>
      <c r="F26" s="49">
        <f>resumo!F26</f>
        <v>29.38</v>
      </c>
      <c r="G26" s="23">
        <f t="shared" ref="G26:G29" si="0">IF(ISBLANK(E26),0,ROUND(E26*F26,2))</f>
        <v>42071.87</v>
      </c>
      <c r="H26" s="22"/>
      <c r="J26" s="60"/>
    </row>
    <row r="27" spans="1:10" ht="15" customHeight="1" x14ac:dyDescent="0.2">
      <c r="A27" s="68">
        <v>531000</v>
      </c>
      <c r="B27" s="69" t="s">
        <v>23</v>
      </c>
      <c r="C27" s="20" t="s">
        <v>109</v>
      </c>
      <c r="D27" s="21" t="s">
        <v>1</v>
      </c>
      <c r="E27" s="59">
        <v>71.599999999999994</v>
      </c>
      <c r="F27" s="49">
        <f>resumo!F27</f>
        <v>155.37</v>
      </c>
      <c r="G27" s="23">
        <f t="shared" si="0"/>
        <v>11124.49</v>
      </c>
      <c r="H27" s="22"/>
      <c r="J27" s="60"/>
    </row>
    <row r="28" spans="1:10" ht="15" customHeight="1" x14ac:dyDescent="0.2">
      <c r="A28" s="68" t="s">
        <v>43</v>
      </c>
      <c r="B28" s="69" t="s">
        <v>22</v>
      </c>
      <c r="C28" s="20" t="s">
        <v>90</v>
      </c>
      <c r="D28" s="21" t="s">
        <v>2</v>
      </c>
      <c r="E28" s="59">
        <v>854.55</v>
      </c>
      <c r="F28" s="49">
        <f>resumo!F28</f>
        <v>8.52</v>
      </c>
      <c r="G28" s="23">
        <f t="shared" si="0"/>
        <v>7280.77</v>
      </c>
      <c r="H28" s="22"/>
      <c r="J28" s="60"/>
    </row>
    <row r="29" spans="1:10" ht="15" customHeight="1" thickBot="1" x14ac:dyDescent="0.25">
      <c r="A29" s="68" t="s">
        <v>117</v>
      </c>
      <c r="B29" s="69" t="s">
        <v>23</v>
      </c>
      <c r="C29" s="20" t="s">
        <v>116</v>
      </c>
      <c r="D29" s="21" t="s">
        <v>5</v>
      </c>
      <c r="E29" s="59">
        <v>10</v>
      </c>
      <c r="F29" s="49">
        <f>resumo!F29</f>
        <v>378.55</v>
      </c>
      <c r="G29" s="23">
        <f t="shared" si="0"/>
        <v>3785.5</v>
      </c>
      <c r="H29" s="22"/>
      <c r="J29" s="60"/>
    </row>
    <row r="30" spans="1:10" ht="15" customHeight="1" thickBot="1" x14ac:dyDescent="0.25">
      <c r="A30" s="37" t="s">
        <v>34</v>
      </c>
      <c r="B30" s="38"/>
      <c r="C30" s="53" t="s">
        <v>42</v>
      </c>
      <c r="D30" s="34"/>
      <c r="E30" s="34"/>
      <c r="F30" s="34"/>
      <c r="G30" s="35"/>
      <c r="H30" s="36">
        <f>SUM(G31:G33)</f>
        <v>10317.73</v>
      </c>
      <c r="J30" s="60"/>
    </row>
    <row r="31" spans="1:10" ht="15" customHeight="1" x14ac:dyDescent="0.2">
      <c r="A31" s="68">
        <v>822000</v>
      </c>
      <c r="B31" s="69" t="s">
        <v>23</v>
      </c>
      <c r="C31" s="20" t="s">
        <v>91</v>
      </c>
      <c r="D31" s="21" t="s">
        <v>2</v>
      </c>
      <c r="E31" s="59">
        <v>132.72</v>
      </c>
      <c r="F31" s="49">
        <f>resumo!F31</f>
        <v>28.98</v>
      </c>
      <c r="G31" s="23">
        <f t="shared" ref="G31:G33" si="1">IF(ISBLANK(E31),0,ROUND(E31*F31,2))</f>
        <v>3846.23</v>
      </c>
      <c r="H31" s="22"/>
      <c r="J31" s="60"/>
    </row>
    <row r="32" spans="1:10" ht="15" customHeight="1" x14ac:dyDescent="0.2">
      <c r="A32" s="68" t="s">
        <v>30</v>
      </c>
      <c r="B32" s="69" t="s">
        <v>23</v>
      </c>
      <c r="C32" s="20" t="s">
        <v>92</v>
      </c>
      <c r="D32" s="21" t="s">
        <v>5</v>
      </c>
      <c r="E32" s="59">
        <v>5</v>
      </c>
      <c r="F32" s="49">
        <f>resumo!F32</f>
        <v>645.24</v>
      </c>
      <c r="G32" s="23">
        <f t="shared" si="1"/>
        <v>3226.2</v>
      </c>
      <c r="H32" s="22"/>
      <c r="J32" s="60"/>
    </row>
    <row r="33" spans="1:10" ht="15" customHeight="1" thickBot="1" x14ac:dyDescent="0.25">
      <c r="A33" s="68" t="s">
        <v>86</v>
      </c>
      <c r="B33" s="69" t="s">
        <v>23</v>
      </c>
      <c r="C33" s="20" t="s">
        <v>130</v>
      </c>
      <c r="D33" s="21" t="s">
        <v>5</v>
      </c>
      <c r="E33" s="59">
        <v>5</v>
      </c>
      <c r="F33" s="49">
        <f>resumo!F33</f>
        <v>649.05999999999995</v>
      </c>
      <c r="G33" s="23">
        <f t="shared" si="1"/>
        <v>3245.3</v>
      </c>
      <c r="H33" s="22"/>
      <c r="I33" s="60"/>
      <c r="J33" s="60"/>
    </row>
    <row r="34" spans="1:10" ht="15" customHeight="1" thickBot="1" x14ac:dyDescent="0.25">
      <c r="A34" s="37" t="s">
        <v>126</v>
      </c>
      <c r="B34" s="38"/>
      <c r="C34" s="53" t="s">
        <v>38</v>
      </c>
      <c r="D34" s="34"/>
      <c r="E34" s="34"/>
      <c r="F34" s="34"/>
      <c r="G34" s="35"/>
      <c r="H34" s="36">
        <f>SUM(G35:G46)</f>
        <v>102641.73</v>
      </c>
      <c r="J34" s="60"/>
    </row>
    <row r="35" spans="1:10" ht="15" customHeight="1" x14ac:dyDescent="0.2">
      <c r="A35" s="68">
        <v>600300</v>
      </c>
      <c r="B35" s="69" t="s">
        <v>23</v>
      </c>
      <c r="C35" s="20" t="s">
        <v>93</v>
      </c>
      <c r="D35" s="21" t="s">
        <v>1</v>
      </c>
      <c r="E35" s="59">
        <v>588.84</v>
      </c>
      <c r="F35" s="49">
        <f>resumo!F35</f>
        <v>8.39</v>
      </c>
      <c r="G35" s="23">
        <f t="shared" ref="G35:G46" si="2">IF(ISBLANK(E35),0,ROUND(E35*F35,2))</f>
        <v>4940.37</v>
      </c>
      <c r="H35" s="22"/>
      <c r="J35" s="63"/>
    </row>
    <row r="36" spans="1:10" ht="15" customHeight="1" x14ac:dyDescent="0.2">
      <c r="A36" s="68">
        <v>601200</v>
      </c>
      <c r="B36" s="69" t="s">
        <v>23</v>
      </c>
      <c r="C36" s="20" t="s">
        <v>31</v>
      </c>
      <c r="D36" s="21" t="s">
        <v>1</v>
      </c>
      <c r="E36" s="59">
        <v>490.01</v>
      </c>
      <c r="F36" s="49">
        <f>resumo!F36</f>
        <v>28.97</v>
      </c>
      <c r="G36" s="23">
        <f t="shared" si="2"/>
        <v>14195.59</v>
      </c>
      <c r="H36" s="22"/>
      <c r="J36" s="63"/>
    </row>
    <row r="37" spans="1:10" ht="15" customHeight="1" x14ac:dyDescent="0.2">
      <c r="A37" s="68">
        <v>603900</v>
      </c>
      <c r="B37" s="69" t="s">
        <v>23</v>
      </c>
      <c r="C37" s="18" t="s">
        <v>32</v>
      </c>
      <c r="D37" s="21" t="s">
        <v>1</v>
      </c>
      <c r="E37" s="59"/>
      <c r="F37" s="49">
        <f>resumo!F37</f>
        <v>155.09</v>
      </c>
      <c r="G37" s="23">
        <f t="shared" si="2"/>
        <v>0</v>
      </c>
      <c r="H37" s="22"/>
      <c r="J37" s="63"/>
    </row>
    <row r="38" spans="1:10" ht="15" customHeight="1" x14ac:dyDescent="0.2">
      <c r="A38" s="68">
        <v>620100</v>
      </c>
      <c r="B38" s="69" t="s">
        <v>23</v>
      </c>
      <c r="C38" s="20" t="s">
        <v>128</v>
      </c>
      <c r="D38" s="21" t="s">
        <v>5</v>
      </c>
      <c r="E38" s="59">
        <v>1</v>
      </c>
      <c r="F38" s="49">
        <f>resumo!F38</f>
        <v>1109.92</v>
      </c>
      <c r="G38" s="23">
        <f t="shared" si="2"/>
        <v>1109.92</v>
      </c>
      <c r="H38" s="22"/>
      <c r="I38" s="60"/>
      <c r="J38" s="63"/>
    </row>
    <row r="39" spans="1:10" ht="15" customHeight="1" x14ac:dyDescent="0.2">
      <c r="A39" s="68">
        <v>620300</v>
      </c>
      <c r="B39" s="69" t="s">
        <v>23</v>
      </c>
      <c r="C39" s="20" t="s">
        <v>119</v>
      </c>
      <c r="D39" s="21" t="s">
        <v>5</v>
      </c>
      <c r="E39" s="59"/>
      <c r="F39" s="49">
        <f>resumo!F39</f>
        <v>2198.44</v>
      </c>
      <c r="G39" s="23">
        <f t="shared" si="2"/>
        <v>0</v>
      </c>
      <c r="H39" s="22"/>
      <c r="J39" s="60"/>
    </row>
    <row r="40" spans="1:10" ht="15" customHeight="1" x14ac:dyDescent="0.2">
      <c r="A40" s="68" t="s">
        <v>7</v>
      </c>
      <c r="B40" s="69" t="s">
        <v>23</v>
      </c>
      <c r="C40" s="20" t="s">
        <v>110</v>
      </c>
      <c r="D40" s="21" t="s">
        <v>3</v>
      </c>
      <c r="E40" s="59">
        <v>229</v>
      </c>
      <c r="F40" s="49">
        <f>resumo!F40</f>
        <v>81.84</v>
      </c>
      <c r="G40" s="23">
        <f t="shared" si="2"/>
        <v>18741.36</v>
      </c>
      <c r="H40" s="22"/>
      <c r="I40" s="60"/>
      <c r="J40" s="60"/>
    </row>
    <row r="41" spans="1:10" ht="15" customHeight="1" x14ac:dyDescent="0.2">
      <c r="A41" s="68" t="s">
        <v>8</v>
      </c>
      <c r="B41" s="69" t="s">
        <v>23</v>
      </c>
      <c r="C41" s="20" t="s">
        <v>111</v>
      </c>
      <c r="D41" s="21" t="s">
        <v>3</v>
      </c>
      <c r="E41" s="59">
        <v>77</v>
      </c>
      <c r="F41" s="49">
        <f>resumo!F41</f>
        <v>141.69</v>
      </c>
      <c r="G41" s="23">
        <f t="shared" si="2"/>
        <v>10910.13</v>
      </c>
      <c r="H41" s="22"/>
      <c r="J41" s="60"/>
    </row>
    <row r="42" spans="1:10" ht="15" customHeight="1" x14ac:dyDescent="0.2">
      <c r="A42" s="68" t="s">
        <v>9</v>
      </c>
      <c r="B42" s="69" t="s">
        <v>23</v>
      </c>
      <c r="C42" s="20" t="s">
        <v>122</v>
      </c>
      <c r="D42" s="21" t="s">
        <v>3</v>
      </c>
      <c r="E42" s="59">
        <v>90</v>
      </c>
      <c r="F42" s="49">
        <f>resumo!F42</f>
        <v>124.26</v>
      </c>
      <c r="G42" s="23">
        <f t="shared" si="2"/>
        <v>11183.4</v>
      </c>
      <c r="H42" s="22"/>
      <c r="J42" s="60"/>
    </row>
    <row r="43" spans="1:10" ht="15" customHeight="1" x14ac:dyDescent="0.2">
      <c r="A43" s="68" t="s">
        <v>112</v>
      </c>
      <c r="B43" s="69" t="s">
        <v>23</v>
      </c>
      <c r="C43" s="20" t="s">
        <v>123</v>
      </c>
      <c r="D43" s="21" t="s">
        <v>3</v>
      </c>
      <c r="E43" s="59">
        <v>24</v>
      </c>
      <c r="F43" s="49">
        <f>resumo!F43</f>
        <v>188.04</v>
      </c>
      <c r="G43" s="23">
        <f t="shared" si="2"/>
        <v>4512.96</v>
      </c>
      <c r="H43" s="22"/>
      <c r="J43" s="60"/>
    </row>
    <row r="44" spans="1:10" ht="15" customHeight="1" x14ac:dyDescent="0.2">
      <c r="A44" s="68" t="s">
        <v>113</v>
      </c>
      <c r="B44" s="69" t="s">
        <v>23</v>
      </c>
      <c r="C44" s="20" t="s">
        <v>124</v>
      </c>
      <c r="D44" s="21" t="s">
        <v>3</v>
      </c>
      <c r="E44" s="59"/>
      <c r="F44" s="49">
        <f>resumo!F44</f>
        <v>302.02</v>
      </c>
      <c r="G44" s="23">
        <f t="shared" si="2"/>
        <v>0</v>
      </c>
      <c r="H44" s="22"/>
      <c r="J44" s="60"/>
    </row>
    <row r="45" spans="1:10" ht="15" customHeight="1" x14ac:dyDescent="0.2">
      <c r="A45" s="68" t="s">
        <v>121</v>
      </c>
      <c r="B45" s="69" t="s">
        <v>23</v>
      </c>
      <c r="C45" s="20" t="s">
        <v>125</v>
      </c>
      <c r="D45" s="21" t="s">
        <v>3</v>
      </c>
      <c r="E45" s="59"/>
      <c r="F45" s="49">
        <f>resumo!F45</f>
        <v>428.92</v>
      </c>
      <c r="G45" s="23">
        <f t="shared" si="2"/>
        <v>0</v>
      </c>
      <c r="H45" s="22"/>
      <c r="J45" s="60"/>
    </row>
    <row r="46" spans="1:10" ht="15" customHeight="1" thickBot="1" x14ac:dyDescent="0.25">
      <c r="A46" s="68" t="s">
        <v>6</v>
      </c>
      <c r="B46" s="69" t="s">
        <v>23</v>
      </c>
      <c r="C46" s="20" t="s">
        <v>94</v>
      </c>
      <c r="D46" s="21" t="s">
        <v>5</v>
      </c>
      <c r="E46" s="59">
        <v>22</v>
      </c>
      <c r="F46" s="49">
        <f>resumo!F46</f>
        <v>1684</v>
      </c>
      <c r="G46" s="23">
        <f t="shared" si="2"/>
        <v>37048</v>
      </c>
      <c r="H46" s="22"/>
      <c r="J46" s="60"/>
    </row>
    <row r="47" spans="1:10" ht="54.95" customHeight="1" thickBot="1" x14ac:dyDescent="0.25">
      <c r="A47" s="37" t="s">
        <v>127</v>
      </c>
      <c r="B47" s="38"/>
      <c r="C47" s="58" t="s">
        <v>103</v>
      </c>
      <c r="D47" s="34" t="s">
        <v>98</v>
      </c>
      <c r="E47" s="34"/>
      <c r="F47" s="34"/>
      <c r="G47" s="35"/>
      <c r="H47" s="36">
        <f>SUM(G48:G55)</f>
        <v>2232.3200000000002</v>
      </c>
    </row>
    <row r="48" spans="1:10" ht="27.95" customHeight="1" x14ac:dyDescent="0.2">
      <c r="A48" s="68" t="s">
        <v>47</v>
      </c>
      <c r="B48" s="69" t="s">
        <v>22</v>
      </c>
      <c r="C48" s="20" t="s">
        <v>48</v>
      </c>
      <c r="D48" s="21" t="s">
        <v>5</v>
      </c>
      <c r="E48" s="59">
        <v>4</v>
      </c>
      <c r="F48" s="49">
        <f>resumo!F48</f>
        <v>58.05</v>
      </c>
      <c r="G48" s="23">
        <f t="shared" ref="G48:G55" si="3">IF(ISBLANK(E48),0,ROUND(E48*F48,2))</f>
        <v>232.2</v>
      </c>
      <c r="H48" s="22"/>
    </row>
    <row r="49" spans="1:8" ht="27.95" customHeight="1" x14ac:dyDescent="0.2">
      <c r="A49" s="68" t="s">
        <v>47</v>
      </c>
      <c r="B49" s="69" t="s">
        <v>22</v>
      </c>
      <c r="C49" s="20" t="s">
        <v>49</v>
      </c>
      <c r="D49" s="21" t="s">
        <v>5</v>
      </c>
      <c r="E49" s="59">
        <v>8</v>
      </c>
      <c r="F49" s="49">
        <f>resumo!F49</f>
        <v>58.05</v>
      </c>
      <c r="G49" s="23">
        <f t="shared" si="3"/>
        <v>464.4</v>
      </c>
      <c r="H49" s="22"/>
    </row>
    <row r="50" spans="1:8" ht="15" customHeight="1" x14ac:dyDescent="0.2">
      <c r="A50" s="68" t="s">
        <v>50</v>
      </c>
      <c r="B50" s="69" t="s">
        <v>22</v>
      </c>
      <c r="C50" s="20" t="s">
        <v>51</v>
      </c>
      <c r="D50" s="21" t="s">
        <v>5</v>
      </c>
      <c r="E50" s="59">
        <v>4</v>
      </c>
      <c r="F50" s="49">
        <f>resumo!F50</f>
        <v>82.93</v>
      </c>
      <c r="G50" s="23">
        <f t="shared" si="3"/>
        <v>331.72</v>
      </c>
      <c r="H50" s="22"/>
    </row>
    <row r="51" spans="1:8" ht="15" customHeight="1" x14ac:dyDescent="0.2">
      <c r="A51" s="68" t="s">
        <v>52</v>
      </c>
      <c r="B51" s="69" t="s">
        <v>22</v>
      </c>
      <c r="C51" s="18" t="s">
        <v>53</v>
      </c>
      <c r="D51" s="21" t="s">
        <v>5</v>
      </c>
      <c r="E51" s="59">
        <v>4</v>
      </c>
      <c r="F51" s="49">
        <f>resumo!F51</f>
        <v>124.4</v>
      </c>
      <c r="G51" s="23">
        <f t="shared" si="3"/>
        <v>497.6</v>
      </c>
      <c r="H51" s="22"/>
    </row>
    <row r="52" spans="1:8" ht="15" customHeight="1" x14ac:dyDescent="0.2">
      <c r="A52" s="68" t="s">
        <v>54</v>
      </c>
      <c r="B52" s="69" t="s">
        <v>22</v>
      </c>
      <c r="C52" s="20" t="s">
        <v>55</v>
      </c>
      <c r="D52" s="21" t="s">
        <v>5</v>
      </c>
      <c r="E52" s="59">
        <v>4</v>
      </c>
      <c r="F52" s="49">
        <f>resumo!F52</f>
        <v>74.63</v>
      </c>
      <c r="G52" s="23">
        <f t="shared" si="3"/>
        <v>298.52</v>
      </c>
      <c r="H52" s="22"/>
    </row>
    <row r="53" spans="1:8" ht="15" customHeight="1" x14ac:dyDescent="0.2">
      <c r="A53" s="68" t="s">
        <v>56</v>
      </c>
      <c r="B53" s="69" t="s">
        <v>22</v>
      </c>
      <c r="C53" s="20" t="s">
        <v>57</v>
      </c>
      <c r="D53" s="21" t="s">
        <v>5</v>
      </c>
      <c r="E53" s="59">
        <v>4</v>
      </c>
      <c r="F53" s="49">
        <f>resumo!F53</f>
        <v>60.82</v>
      </c>
      <c r="G53" s="23">
        <f t="shared" si="3"/>
        <v>243.28</v>
      </c>
      <c r="H53" s="22"/>
    </row>
    <row r="54" spans="1:8" ht="15" customHeight="1" x14ac:dyDescent="0.2">
      <c r="A54" s="68"/>
      <c r="B54" s="69" t="s">
        <v>58</v>
      </c>
      <c r="C54" s="20" t="s">
        <v>96</v>
      </c>
      <c r="D54" s="21" t="s">
        <v>5</v>
      </c>
      <c r="E54" s="59">
        <v>4</v>
      </c>
      <c r="F54" s="49">
        <f>resumo!F54</f>
        <v>41.15</v>
      </c>
      <c r="G54" s="23">
        <f t="shared" si="3"/>
        <v>164.6</v>
      </c>
      <c r="H54" s="22"/>
    </row>
    <row r="55" spans="1:8" ht="27.95" customHeight="1" thickBot="1" x14ac:dyDescent="0.25">
      <c r="A55" s="68">
        <v>72872</v>
      </c>
      <c r="B55" s="69" t="s">
        <v>22</v>
      </c>
      <c r="C55" s="20" t="s">
        <v>95</v>
      </c>
      <c r="D55" s="21" t="s">
        <v>59</v>
      </c>
      <c r="E55" s="59"/>
      <c r="F55" s="49">
        <f>resumo!F55</f>
        <v>3043.18</v>
      </c>
      <c r="G55" s="23">
        <f t="shared" si="3"/>
        <v>0</v>
      </c>
      <c r="H55" s="22"/>
    </row>
    <row r="56" spans="1:8" ht="15" customHeight="1" thickBot="1" x14ac:dyDescent="0.25">
      <c r="A56" s="14" t="s">
        <v>11</v>
      </c>
      <c r="B56" s="15"/>
      <c r="C56" s="16" t="s">
        <v>45</v>
      </c>
      <c r="D56" s="13"/>
      <c r="E56" s="17"/>
      <c r="F56" s="17"/>
      <c r="G56" s="12">
        <f>SUBTOTAL(9,G7:G55)</f>
        <v>530060.62</v>
      </c>
      <c r="H56" s="12">
        <f>SUBTOTAL(9,H7:H55)</f>
        <v>530060.62</v>
      </c>
    </row>
    <row r="58" spans="1:8" x14ac:dyDescent="0.2">
      <c r="H58" s="63"/>
    </row>
    <row r="59" spans="1:8" x14ac:dyDescent="0.2">
      <c r="H59" s="60"/>
    </row>
    <row r="60" spans="1:8" x14ac:dyDescent="0.2">
      <c r="H60" s="60"/>
    </row>
    <row r="61" spans="1:8" x14ac:dyDescent="0.2">
      <c r="H61" s="60"/>
    </row>
  </sheetData>
  <mergeCells count="1">
    <mergeCell ref="C4:H4"/>
  </mergeCells>
  <pageMargins left="0.25" right="0.25" top="0.75" bottom="0.75" header="0.3" footer="0.3"/>
  <pageSetup paperSize="9" scale="71" orientation="portrait" r:id="rId1"/>
  <headerFooter alignWithMargins="0"/>
  <ignoredErrors>
    <ignoredError sqref="H2:H3 A7:A47" numberStoredAsText="1"/>
    <ignoredError sqref="F8:F64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showGridLines="0" showZeros="0" tabSelected="1" topLeftCell="B46" zoomScaleSheetLayoutView="100" workbookViewId="0">
      <selection activeCell="C4" sqref="C4:H4"/>
    </sheetView>
  </sheetViews>
  <sheetFormatPr defaultColWidth="21.6640625" defaultRowHeight="12.75" x14ac:dyDescent="0.2"/>
  <cols>
    <col min="1" max="1" width="12.5" style="39" customWidth="1"/>
    <col min="2" max="2" width="12.33203125" style="39" customWidth="1"/>
    <col min="3" max="3" width="84.6640625" style="19" customWidth="1"/>
    <col min="4" max="4" width="6.5" style="19" customWidth="1"/>
    <col min="5" max="5" width="12.83203125" style="19" customWidth="1"/>
    <col min="6" max="6" width="12.1640625" style="19" customWidth="1"/>
    <col min="7" max="8" width="16" style="19" customWidth="1"/>
    <col min="9" max="11" width="17.1640625" style="19" customWidth="1"/>
    <col min="12" max="16384" width="21.6640625" style="19"/>
  </cols>
  <sheetData>
    <row r="1" spans="1:11" s="24" customFormat="1" ht="20.100000000000001" customHeight="1" thickBot="1" x14ac:dyDescent="0.25">
      <c r="A1" s="40" t="s">
        <v>13</v>
      </c>
      <c r="B1" s="1"/>
      <c r="C1" s="2"/>
      <c r="D1" s="3"/>
      <c r="E1" s="3"/>
      <c r="F1" s="3"/>
      <c r="G1" s="2"/>
      <c r="H1" s="2"/>
    </row>
    <row r="2" spans="1:11" s="24" customFormat="1" ht="15" customHeight="1" x14ac:dyDescent="0.2">
      <c r="A2" s="41" t="s">
        <v>60</v>
      </c>
      <c r="B2" s="25"/>
      <c r="C2" s="42" t="s">
        <v>104</v>
      </c>
      <c r="D2" s="43"/>
      <c r="E2" s="43"/>
      <c r="F2" s="43"/>
      <c r="G2" s="56" t="s">
        <v>17</v>
      </c>
      <c r="H2" s="54" t="s">
        <v>129</v>
      </c>
    </row>
    <row r="3" spans="1:11" s="24" customFormat="1" ht="15" customHeight="1" x14ac:dyDescent="0.2">
      <c r="A3" s="44" t="s">
        <v>61</v>
      </c>
      <c r="B3" s="26"/>
      <c r="C3" s="45" t="s">
        <v>84</v>
      </c>
      <c r="D3" s="46"/>
      <c r="E3" s="46"/>
      <c r="F3" s="46"/>
      <c r="G3" s="57" t="s">
        <v>18</v>
      </c>
      <c r="H3" s="55" t="s">
        <v>105</v>
      </c>
    </row>
    <row r="4" spans="1:11" s="24" customFormat="1" ht="30" customHeight="1" thickBot="1" x14ac:dyDescent="0.25">
      <c r="A4" s="47" t="s">
        <v>62</v>
      </c>
      <c r="B4" s="27"/>
      <c r="C4" s="269" t="s">
        <v>178</v>
      </c>
      <c r="D4" s="270"/>
      <c r="E4" s="270"/>
      <c r="F4" s="270"/>
      <c r="G4" s="270"/>
      <c r="H4" s="271"/>
    </row>
    <row r="5" spans="1:11" ht="15" customHeight="1" thickBot="1" x14ac:dyDescent="0.25">
      <c r="A5" s="28" t="s">
        <v>33</v>
      </c>
      <c r="B5" s="29" t="s">
        <v>134</v>
      </c>
      <c r="C5" s="30" t="s">
        <v>12</v>
      </c>
      <c r="D5" s="61" t="s">
        <v>87</v>
      </c>
      <c r="E5" s="4" t="s">
        <v>14</v>
      </c>
      <c r="F5" s="5"/>
      <c r="G5" s="6"/>
      <c r="H5" s="6"/>
    </row>
    <row r="6" spans="1:11" ht="26.1" customHeight="1" thickBot="1" x14ac:dyDescent="0.25">
      <c r="A6" s="65" t="s">
        <v>19</v>
      </c>
      <c r="B6" s="66"/>
      <c r="C6" s="31"/>
      <c r="D6" s="7"/>
      <c r="E6" s="8" t="s">
        <v>101</v>
      </c>
      <c r="F6" s="10" t="s">
        <v>102</v>
      </c>
      <c r="G6" s="9" t="s">
        <v>0</v>
      </c>
      <c r="H6" s="11" t="s">
        <v>15</v>
      </c>
    </row>
    <row r="7" spans="1:11" ht="15" customHeight="1" thickBot="1" x14ac:dyDescent="0.25">
      <c r="A7" s="32" t="s">
        <v>46</v>
      </c>
      <c r="B7" s="33"/>
      <c r="C7" s="52" t="s">
        <v>39</v>
      </c>
      <c r="D7" s="34"/>
      <c r="E7" s="34"/>
      <c r="F7" s="34"/>
      <c r="G7" s="35"/>
      <c r="H7" s="36">
        <f>SUM(G8:G8)</f>
        <v>0</v>
      </c>
    </row>
    <row r="8" spans="1:11" ht="15" customHeight="1" thickBot="1" x14ac:dyDescent="0.25">
      <c r="A8" s="67" t="s">
        <v>10</v>
      </c>
      <c r="B8" s="66" t="s">
        <v>22</v>
      </c>
      <c r="C8" s="62" t="s">
        <v>88</v>
      </c>
      <c r="D8" s="7" t="s">
        <v>5</v>
      </c>
      <c r="E8" s="59"/>
      <c r="F8" s="49">
        <f>resumo!F8</f>
        <v>2282.96</v>
      </c>
      <c r="G8" s="23">
        <f>IF(ISBLANK(E8),0,ROUND(E8*F8,2))</f>
        <v>0</v>
      </c>
      <c r="H8" s="22"/>
      <c r="J8" s="63"/>
      <c r="K8" s="60"/>
    </row>
    <row r="9" spans="1:11" ht="15" customHeight="1" thickBot="1" x14ac:dyDescent="0.25">
      <c r="A9" s="32" t="s">
        <v>21</v>
      </c>
      <c r="B9" s="51"/>
      <c r="C9" s="52" t="s">
        <v>35</v>
      </c>
      <c r="D9" s="34"/>
      <c r="E9" s="34"/>
      <c r="F9" s="34"/>
      <c r="G9" s="35"/>
      <c r="H9" s="36">
        <f>SUM(G10:G12)</f>
        <v>57123.32</v>
      </c>
      <c r="J9" s="63"/>
      <c r="K9" s="60"/>
    </row>
    <row r="10" spans="1:11" ht="15" customHeight="1" x14ac:dyDescent="0.2">
      <c r="A10" s="68">
        <v>400500</v>
      </c>
      <c r="B10" s="69" t="s">
        <v>23</v>
      </c>
      <c r="C10" s="20" t="s">
        <v>115</v>
      </c>
      <c r="D10" s="21" t="s">
        <v>1</v>
      </c>
      <c r="E10" s="59">
        <v>319.64999999999998</v>
      </c>
      <c r="F10" s="49">
        <f>resumo!F10</f>
        <v>117.69</v>
      </c>
      <c r="G10" s="23">
        <f>IF(ISBLANK(E10),0,ROUND(E10*F10,2))</f>
        <v>37619.61</v>
      </c>
      <c r="H10" s="22"/>
      <c r="J10" s="63"/>
      <c r="K10" s="60"/>
    </row>
    <row r="11" spans="1:11" ht="15" customHeight="1" x14ac:dyDescent="0.2">
      <c r="A11" s="68">
        <v>520100</v>
      </c>
      <c r="B11" s="69" t="s">
        <v>23</v>
      </c>
      <c r="C11" s="20" t="s">
        <v>118</v>
      </c>
      <c r="D11" s="21" t="s">
        <v>1</v>
      </c>
      <c r="E11" s="59">
        <v>1751.69</v>
      </c>
      <c r="F11" s="49">
        <f>resumo!F11</f>
        <v>8.7200000000000006</v>
      </c>
      <c r="G11" s="23">
        <f>IF(ISBLANK(E11),0,ROUND(E11*F11,2))</f>
        <v>15274.74</v>
      </c>
      <c r="H11" s="22"/>
      <c r="J11" s="63"/>
      <c r="K11" s="60"/>
    </row>
    <row r="12" spans="1:11" ht="15" customHeight="1" thickBot="1" x14ac:dyDescent="0.25">
      <c r="A12" s="68">
        <v>404000</v>
      </c>
      <c r="B12" s="69" t="s">
        <v>23</v>
      </c>
      <c r="C12" s="20" t="s">
        <v>114</v>
      </c>
      <c r="D12" s="21" t="s">
        <v>1</v>
      </c>
      <c r="E12" s="59">
        <v>319.64999999999998</v>
      </c>
      <c r="F12" s="49">
        <f>resumo!F12</f>
        <v>13.23</v>
      </c>
      <c r="G12" s="23">
        <f>IF(ISBLANK(E12),0,ROUND(E12*F12,2))</f>
        <v>4228.97</v>
      </c>
      <c r="H12" s="22"/>
      <c r="J12" s="63"/>
      <c r="K12" s="60"/>
    </row>
    <row r="13" spans="1:11" ht="15" customHeight="1" thickBot="1" x14ac:dyDescent="0.25">
      <c r="A13" s="37" t="s">
        <v>24</v>
      </c>
      <c r="B13" s="38"/>
      <c r="C13" s="53" t="s">
        <v>40</v>
      </c>
      <c r="D13" s="34"/>
      <c r="E13" s="34"/>
      <c r="F13" s="34"/>
      <c r="G13" s="35"/>
      <c r="H13" s="36">
        <f>SUM(G14:G16)</f>
        <v>209827.82</v>
      </c>
      <c r="J13" s="63"/>
      <c r="K13" s="60"/>
    </row>
    <row r="14" spans="1:11" ht="15" customHeight="1" x14ac:dyDescent="0.2">
      <c r="A14" s="68">
        <v>511100</v>
      </c>
      <c r="B14" s="69" t="s">
        <v>23</v>
      </c>
      <c r="C14" s="20" t="s">
        <v>89</v>
      </c>
      <c r="D14" s="21" t="s">
        <v>2</v>
      </c>
      <c r="E14" s="59">
        <v>3892.64</v>
      </c>
      <c r="F14" s="49">
        <f>resumo!F14</f>
        <v>3.15</v>
      </c>
      <c r="G14" s="23">
        <f>IF(ISBLANK(E14),0,ROUND(E14*F14,2))</f>
        <v>12261.82</v>
      </c>
      <c r="H14" s="22"/>
      <c r="J14" s="63"/>
      <c r="K14" s="60"/>
    </row>
    <row r="15" spans="1:11" ht="15" customHeight="1" x14ac:dyDescent="0.2">
      <c r="A15" s="68">
        <v>530200</v>
      </c>
      <c r="B15" s="69" t="s">
        <v>23</v>
      </c>
      <c r="C15" s="20" t="s">
        <v>120</v>
      </c>
      <c r="D15" s="21" t="s">
        <v>1</v>
      </c>
      <c r="E15" s="59">
        <v>778.53</v>
      </c>
      <c r="F15" s="49">
        <f>resumo!F15</f>
        <v>137.24</v>
      </c>
      <c r="G15" s="23">
        <f>IF(ISBLANK(E15),0,ROUND(E15*F15,2))</f>
        <v>106845.46</v>
      </c>
      <c r="H15" s="22"/>
      <c r="J15" s="63"/>
      <c r="K15" s="60"/>
    </row>
    <row r="16" spans="1:11" ht="15" customHeight="1" thickBot="1" x14ac:dyDescent="0.25">
      <c r="A16" s="68">
        <v>531000</v>
      </c>
      <c r="B16" s="69" t="s">
        <v>23</v>
      </c>
      <c r="C16" s="20" t="s">
        <v>25</v>
      </c>
      <c r="D16" s="21" t="s">
        <v>1</v>
      </c>
      <c r="E16" s="59">
        <v>583.9</v>
      </c>
      <c r="F16" s="49">
        <f>resumo!F16</f>
        <v>155.37</v>
      </c>
      <c r="G16" s="23">
        <f>IF(ISBLANK(E16),0,ROUND(E16*F16,2))</f>
        <v>90720.54</v>
      </c>
      <c r="H16" s="22"/>
      <c r="J16" s="63"/>
      <c r="K16" s="60"/>
    </row>
    <row r="17" spans="1:11" ht="15" customHeight="1" thickBot="1" x14ac:dyDescent="0.25">
      <c r="A17" s="37" t="s">
        <v>26</v>
      </c>
      <c r="B17" s="38"/>
      <c r="C17" s="53" t="s">
        <v>36</v>
      </c>
      <c r="D17" s="34"/>
      <c r="E17" s="64"/>
      <c r="F17" s="34"/>
      <c r="G17" s="35"/>
      <c r="H17" s="36">
        <f>SUM(G18:G20)</f>
        <v>192424.19</v>
      </c>
      <c r="J17" s="63"/>
      <c r="K17" s="60"/>
    </row>
    <row r="18" spans="1:11" ht="15" customHeight="1" x14ac:dyDescent="0.2">
      <c r="A18" s="70" t="s">
        <v>99</v>
      </c>
      <c r="B18" s="71" t="s">
        <v>23</v>
      </c>
      <c r="C18" s="20" t="s">
        <v>100</v>
      </c>
      <c r="D18" s="21" t="s">
        <v>2</v>
      </c>
      <c r="E18" s="59">
        <v>3689.01</v>
      </c>
      <c r="F18" s="49">
        <f>resumo!F18</f>
        <v>3.9</v>
      </c>
      <c r="G18" s="23">
        <f>IF(ISBLANK(E18),0,ROUND(E18*F18,2))</f>
        <v>14387.14</v>
      </c>
      <c r="H18" s="22"/>
      <c r="J18" s="63"/>
      <c r="K18" s="60"/>
    </row>
    <row r="19" spans="1:11" ht="15" customHeight="1" x14ac:dyDescent="0.2">
      <c r="A19" s="70">
        <v>561100</v>
      </c>
      <c r="B19" s="71" t="s">
        <v>23</v>
      </c>
      <c r="C19" s="20" t="s">
        <v>97</v>
      </c>
      <c r="D19" s="21" t="s">
        <v>2</v>
      </c>
      <c r="E19" s="59">
        <v>3689.01</v>
      </c>
      <c r="F19" s="49">
        <f>resumo!F19</f>
        <v>1.41</v>
      </c>
      <c r="G19" s="23">
        <f>IF(ISBLANK(E19),0,ROUND(E19*F19,2))</f>
        <v>5201.5</v>
      </c>
      <c r="H19" s="22"/>
      <c r="J19" s="63"/>
      <c r="K19" s="60"/>
    </row>
    <row r="20" spans="1:11" ht="15" customHeight="1" thickBot="1" x14ac:dyDescent="0.25">
      <c r="A20" s="68">
        <v>570000</v>
      </c>
      <c r="B20" s="69" t="s">
        <v>23</v>
      </c>
      <c r="C20" s="20" t="s">
        <v>85</v>
      </c>
      <c r="D20" s="21" t="s">
        <v>4</v>
      </c>
      <c r="E20" s="59">
        <v>442.68</v>
      </c>
      <c r="F20" s="49">
        <f>resumo!F20</f>
        <v>390.43</v>
      </c>
      <c r="G20" s="23">
        <f>IF(ISBLANK(E20),0,ROUND(E20*F20,2))</f>
        <v>172835.55</v>
      </c>
      <c r="H20" s="22"/>
      <c r="J20" s="63"/>
      <c r="K20" s="60"/>
    </row>
    <row r="21" spans="1:11" ht="15" customHeight="1" thickBot="1" x14ac:dyDescent="0.25">
      <c r="A21" s="37" t="s">
        <v>20</v>
      </c>
      <c r="B21" s="38"/>
      <c r="C21" s="53" t="s">
        <v>37</v>
      </c>
      <c r="D21" s="34"/>
      <c r="E21" s="34"/>
      <c r="F21" s="34"/>
      <c r="G21" s="35"/>
      <c r="H21" s="36">
        <f>SUM(G22:G23)</f>
        <v>50255.960000000006</v>
      </c>
      <c r="J21" s="63"/>
      <c r="K21" s="60"/>
    </row>
    <row r="22" spans="1:11" ht="15" customHeight="1" x14ac:dyDescent="0.2">
      <c r="A22" s="68">
        <v>810150</v>
      </c>
      <c r="B22" s="69" t="s">
        <v>23</v>
      </c>
      <c r="C22" s="20" t="s">
        <v>28</v>
      </c>
      <c r="D22" s="21" t="s">
        <v>3</v>
      </c>
      <c r="E22" s="59">
        <v>927</v>
      </c>
      <c r="F22" s="49">
        <f>resumo!F22</f>
        <v>46.56</v>
      </c>
      <c r="G22" s="23">
        <f>IF(ISBLANK(E22),0,ROUND(E22*F22,2))</f>
        <v>43161.120000000003</v>
      </c>
      <c r="H22" s="22"/>
      <c r="I22" s="60"/>
      <c r="J22" s="63"/>
      <c r="K22" s="60"/>
    </row>
    <row r="23" spans="1:11" ht="15" customHeight="1" thickBot="1" x14ac:dyDescent="0.25">
      <c r="A23" s="68">
        <v>810650</v>
      </c>
      <c r="B23" s="69" t="s">
        <v>23</v>
      </c>
      <c r="C23" s="20" t="s">
        <v>29</v>
      </c>
      <c r="D23" s="21" t="s">
        <v>3</v>
      </c>
      <c r="E23" s="59">
        <v>181.5</v>
      </c>
      <c r="F23" s="49">
        <f>resumo!F23</f>
        <v>39.090000000000003</v>
      </c>
      <c r="G23" s="23">
        <f>IF(ISBLANK(E23),0,ROUND(E23*F23,2))</f>
        <v>7094.84</v>
      </c>
      <c r="H23" s="22"/>
      <c r="J23" s="63"/>
      <c r="K23" s="60"/>
    </row>
    <row r="24" spans="1:11" ht="15" customHeight="1" thickBot="1" x14ac:dyDescent="0.25">
      <c r="A24" s="37" t="s">
        <v>27</v>
      </c>
      <c r="B24" s="38"/>
      <c r="C24" s="53" t="s">
        <v>41</v>
      </c>
      <c r="D24" s="34"/>
      <c r="E24" s="34"/>
      <c r="F24" s="34"/>
      <c r="G24" s="35"/>
      <c r="H24" s="36">
        <f>SUM(G25:G29)</f>
        <v>81666.930000000008</v>
      </c>
      <c r="J24" s="63"/>
      <c r="K24" s="60"/>
    </row>
    <row r="25" spans="1:11" ht="15" customHeight="1" x14ac:dyDescent="0.2">
      <c r="A25" s="68">
        <v>72961</v>
      </c>
      <c r="B25" s="69" t="s">
        <v>22</v>
      </c>
      <c r="C25" s="20" t="s">
        <v>106</v>
      </c>
      <c r="D25" s="21" t="s">
        <v>2</v>
      </c>
      <c r="E25" s="59">
        <v>2392.7199999999998</v>
      </c>
      <c r="F25" s="49">
        <f>resumo!F25</f>
        <v>1.52</v>
      </c>
      <c r="G25" s="23">
        <f>IF(ISBLANK(E25),0,ROUND(E25*F25,2))</f>
        <v>3636.93</v>
      </c>
      <c r="H25" s="22"/>
      <c r="J25" s="63"/>
      <c r="K25" s="60"/>
    </row>
    <row r="26" spans="1:11" ht="15" customHeight="1" x14ac:dyDescent="0.2">
      <c r="A26" s="68" t="s">
        <v>107</v>
      </c>
      <c r="B26" s="69" t="s">
        <v>23</v>
      </c>
      <c r="C26" s="20" t="s">
        <v>108</v>
      </c>
      <c r="D26" s="21" t="s">
        <v>2</v>
      </c>
      <c r="E26" s="59">
        <v>1696.16</v>
      </c>
      <c r="F26" s="49">
        <f>resumo!F26</f>
        <v>29.38</v>
      </c>
      <c r="G26" s="23">
        <f t="shared" ref="G26:G29" si="0">IF(ISBLANK(E26),0,ROUND(E26*F26,2))</f>
        <v>49833.18</v>
      </c>
      <c r="H26" s="22"/>
      <c r="J26" s="63"/>
      <c r="K26" s="60"/>
    </row>
    <row r="27" spans="1:11" ht="15" customHeight="1" x14ac:dyDescent="0.2">
      <c r="A27" s="68">
        <v>531000</v>
      </c>
      <c r="B27" s="69" t="s">
        <v>23</v>
      </c>
      <c r="C27" s="20" t="s">
        <v>109</v>
      </c>
      <c r="D27" s="21" t="s">
        <v>1</v>
      </c>
      <c r="E27" s="59">
        <v>84.81</v>
      </c>
      <c r="F27" s="49">
        <f>resumo!F27</f>
        <v>155.37</v>
      </c>
      <c r="G27" s="23">
        <f t="shared" si="0"/>
        <v>13176.93</v>
      </c>
      <c r="H27" s="22"/>
      <c r="J27" s="63"/>
      <c r="K27" s="60"/>
    </row>
    <row r="28" spans="1:11" ht="15" customHeight="1" x14ac:dyDescent="0.2">
      <c r="A28" s="68" t="s">
        <v>43</v>
      </c>
      <c r="B28" s="69" t="s">
        <v>22</v>
      </c>
      <c r="C28" s="20" t="s">
        <v>90</v>
      </c>
      <c r="D28" s="21" t="s">
        <v>2</v>
      </c>
      <c r="E28" s="59">
        <v>696.56</v>
      </c>
      <c r="F28" s="49">
        <f>resumo!F28</f>
        <v>8.52</v>
      </c>
      <c r="G28" s="23">
        <f t="shared" si="0"/>
        <v>5934.69</v>
      </c>
      <c r="H28" s="22"/>
      <c r="J28" s="63"/>
      <c r="K28" s="60"/>
    </row>
    <row r="29" spans="1:11" ht="15" customHeight="1" thickBot="1" x14ac:dyDescent="0.25">
      <c r="A29" s="68" t="s">
        <v>117</v>
      </c>
      <c r="B29" s="69" t="s">
        <v>23</v>
      </c>
      <c r="C29" s="20" t="s">
        <v>116</v>
      </c>
      <c r="D29" s="21" t="s">
        <v>5</v>
      </c>
      <c r="E29" s="59">
        <v>24</v>
      </c>
      <c r="F29" s="49">
        <f>resumo!F29</f>
        <v>378.55</v>
      </c>
      <c r="G29" s="23">
        <f t="shared" si="0"/>
        <v>9085.2000000000007</v>
      </c>
      <c r="H29" s="22"/>
      <c r="J29" s="63"/>
      <c r="K29" s="60"/>
    </row>
    <row r="30" spans="1:11" ht="15" customHeight="1" thickBot="1" x14ac:dyDescent="0.25">
      <c r="A30" s="37" t="s">
        <v>34</v>
      </c>
      <c r="B30" s="38"/>
      <c r="C30" s="53" t="s">
        <v>42</v>
      </c>
      <c r="D30" s="34"/>
      <c r="E30" s="34"/>
      <c r="F30" s="34"/>
      <c r="G30" s="35"/>
      <c r="H30" s="36">
        <f>SUM(G31:G33)</f>
        <v>9975.5999999999985</v>
      </c>
      <c r="J30" s="63"/>
      <c r="K30" s="60"/>
    </row>
    <row r="31" spans="1:11" ht="15" customHeight="1" x14ac:dyDescent="0.2">
      <c r="A31" s="68">
        <v>822000</v>
      </c>
      <c r="B31" s="69" t="s">
        <v>23</v>
      </c>
      <c r="C31" s="20" t="s">
        <v>91</v>
      </c>
      <c r="D31" s="21" t="s">
        <v>2</v>
      </c>
      <c r="E31" s="59">
        <v>254.9</v>
      </c>
      <c r="F31" s="49">
        <f>resumo!F31</f>
        <v>28.98</v>
      </c>
      <c r="G31" s="23">
        <f t="shared" ref="G31:G33" si="1">IF(ISBLANK(E31),0,ROUND(E31*F31,2))</f>
        <v>7387</v>
      </c>
      <c r="H31" s="22"/>
      <c r="J31" s="63"/>
      <c r="K31" s="60"/>
    </row>
    <row r="32" spans="1:11" ht="15" customHeight="1" x14ac:dyDescent="0.2">
      <c r="A32" s="68" t="s">
        <v>30</v>
      </c>
      <c r="B32" s="69" t="s">
        <v>23</v>
      </c>
      <c r="C32" s="20" t="s">
        <v>92</v>
      </c>
      <c r="D32" s="21" t="s">
        <v>5</v>
      </c>
      <c r="E32" s="59">
        <v>2</v>
      </c>
      <c r="F32" s="49">
        <f>resumo!F32</f>
        <v>645.24</v>
      </c>
      <c r="G32" s="23">
        <f t="shared" si="1"/>
        <v>1290.48</v>
      </c>
      <c r="H32" s="22"/>
      <c r="J32" s="63"/>
      <c r="K32" s="60"/>
    </row>
    <row r="33" spans="1:11" ht="15" customHeight="1" thickBot="1" x14ac:dyDescent="0.25">
      <c r="A33" s="68" t="s">
        <v>86</v>
      </c>
      <c r="B33" s="69" t="s">
        <v>23</v>
      </c>
      <c r="C33" s="20" t="s">
        <v>130</v>
      </c>
      <c r="D33" s="21" t="s">
        <v>5</v>
      </c>
      <c r="E33" s="59">
        <v>2</v>
      </c>
      <c r="F33" s="49">
        <f>resumo!F33</f>
        <v>649.05999999999995</v>
      </c>
      <c r="G33" s="23">
        <f t="shared" si="1"/>
        <v>1298.1199999999999</v>
      </c>
      <c r="H33" s="22"/>
      <c r="I33" s="60"/>
      <c r="J33" s="63"/>
      <c r="K33" s="60"/>
    </row>
    <row r="34" spans="1:11" ht="15" customHeight="1" thickBot="1" x14ac:dyDescent="0.25">
      <c r="A34" s="37" t="s">
        <v>126</v>
      </c>
      <c r="B34" s="38"/>
      <c r="C34" s="53" t="s">
        <v>38</v>
      </c>
      <c r="D34" s="34"/>
      <c r="E34" s="34"/>
      <c r="F34" s="34"/>
      <c r="G34" s="35"/>
      <c r="H34" s="36">
        <f>SUM(G35:G46)</f>
        <v>138081.56</v>
      </c>
      <c r="J34" s="63"/>
      <c r="K34" s="60"/>
    </row>
    <row r="35" spans="1:11" ht="15" customHeight="1" x14ac:dyDescent="0.2">
      <c r="A35" s="68">
        <v>600300</v>
      </c>
      <c r="B35" s="69" t="s">
        <v>23</v>
      </c>
      <c r="C35" s="20" t="s">
        <v>93</v>
      </c>
      <c r="D35" s="21" t="s">
        <v>1</v>
      </c>
      <c r="E35" s="59">
        <v>724.6</v>
      </c>
      <c r="F35" s="49">
        <f>resumo!F35</f>
        <v>8.39</v>
      </c>
      <c r="G35" s="23">
        <f t="shared" ref="G35:G46" si="2">IF(ISBLANK(E35),0,ROUND(E35*F35,2))</f>
        <v>6079.39</v>
      </c>
      <c r="H35" s="22"/>
      <c r="J35" s="63"/>
      <c r="K35" s="60"/>
    </row>
    <row r="36" spans="1:11" ht="15" customHeight="1" x14ac:dyDescent="0.2">
      <c r="A36" s="68">
        <v>601200</v>
      </c>
      <c r="B36" s="69" t="s">
        <v>23</v>
      </c>
      <c r="C36" s="20" t="s">
        <v>31</v>
      </c>
      <c r="D36" s="21" t="s">
        <v>1</v>
      </c>
      <c r="E36" s="59">
        <v>594.63</v>
      </c>
      <c r="F36" s="49">
        <f>resumo!F36</f>
        <v>28.97</v>
      </c>
      <c r="G36" s="23">
        <f t="shared" si="2"/>
        <v>17226.43</v>
      </c>
      <c r="H36" s="22"/>
      <c r="J36" s="63"/>
      <c r="K36" s="60"/>
    </row>
    <row r="37" spans="1:11" ht="15" customHeight="1" x14ac:dyDescent="0.2">
      <c r="A37" s="68">
        <v>603900</v>
      </c>
      <c r="B37" s="69" t="s">
        <v>23</v>
      </c>
      <c r="C37" s="18" t="s">
        <v>32</v>
      </c>
      <c r="D37" s="21" t="s">
        <v>1</v>
      </c>
      <c r="E37" s="59">
        <v>9.8000000000000007</v>
      </c>
      <c r="F37" s="49">
        <f>resumo!F37</f>
        <v>155.09</v>
      </c>
      <c r="G37" s="23">
        <f t="shared" si="2"/>
        <v>1519.88</v>
      </c>
      <c r="H37" s="22"/>
      <c r="J37" s="63"/>
      <c r="K37" s="60"/>
    </row>
    <row r="38" spans="1:11" ht="15" customHeight="1" x14ac:dyDescent="0.2">
      <c r="A38" s="68">
        <v>620100</v>
      </c>
      <c r="B38" s="69" t="s">
        <v>23</v>
      </c>
      <c r="C38" s="20" t="s">
        <v>128</v>
      </c>
      <c r="D38" s="21" t="s">
        <v>5</v>
      </c>
      <c r="E38" s="59"/>
      <c r="F38" s="49">
        <f>resumo!F38</f>
        <v>1109.92</v>
      </c>
      <c r="G38" s="23">
        <f t="shared" si="2"/>
        <v>0</v>
      </c>
      <c r="H38" s="22"/>
      <c r="I38" s="60"/>
      <c r="J38" s="63"/>
      <c r="K38" s="60"/>
    </row>
    <row r="39" spans="1:11" ht="15" customHeight="1" x14ac:dyDescent="0.2">
      <c r="A39" s="68">
        <v>620300</v>
      </c>
      <c r="B39" s="69" t="s">
        <v>23</v>
      </c>
      <c r="C39" s="20" t="s">
        <v>119</v>
      </c>
      <c r="D39" s="21" t="s">
        <v>5</v>
      </c>
      <c r="E39" s="59">
        <v>1</v>
      </c>
      <c r="F39" s="49">
        <f>resumo!F39</f>
        <v>2198.44</v>
      </c>
      <c r="G39" s="23">
        <f t="shared" si="2"/>
        <v>2198.44</v>
      </c>
      <c r="H39" s="22"/>
      <c r="J39" s="63"/>
      <c r="K39" s="60"/>
    </row>
    <row r="40" spans="1:11" ht="15" customHeight="1" x14ac:dyDescent="0.2">
      <c r="A40" s="68" t="s">
        <v>7</v>
      </c>
      <c r="B40" s="69" t="s">
        <v>23</v>
      </c>
      <c r="C40" s="20" t="s">
        <v>110</v>
      </c>
      <c r="D40" s="21" t="s">
        <v>3</v>
      </c>
      <c r="E40" s="59">
        <v>244</v>
      </c>
      <c r="F40" s="49">
        <f>resumo!F40</f>
        <v>81.84</v>
      </c>
      <c r="G40" s="23">
        <f t="shared" si="2"/>
        <v>19968.96</v>
      </c>
      <c r="H40" s="22"/>
      <c r="I40" s="60"/>
      <c r="J40" s="63"/>
      <c r="K40" s="60"/>
    </row>
    <row r="41" spans="1:11" ht="15" customHeight="1" x14ac:dyDescent="0.2">
      <c r="A41" s="68" t="s">
        <v>8</v>
      </c>
      <c r="B41" s="69" t="s">
        <v>23</v>
      </c>
      <c r="C41" s="20" t="s">
        <v>111</v>
      </c>
      <c r="D41" s="21" t="s">
        <v>3</v>
      </c>
      <c r="E41" s="59">
        <v>48</v>
      </c>
      <c r="F41" s="49">
        <f>resumo!F41</f>
        <v>141.69</v>
      </c>
      <c r="G41" s="23">
        <f t="shared" si="2"/>
        <v>6801.12</v>
      </c>
      <c r="H41" s="22"/>
      <c r="J41" s="63"/>
      <c r="K41" s="60"/>
    </row>
    <row r="42" spans="1:11" ht="15" customHeight="1" x14ac:dyDescent="0.2">
      <c r="A42" s="68" t="s">
        <v>9</v>
      </c>
      <c r="B42" s="69" t="s">
        <v>23</v>
      </c>
      <c r="C42" s="20" t="s">
        <v>122</v>
      </c>
      <c r="D42" s="21" t="s">
        <v>3</v>
      </c>
      <c r="E42" s="59">
        <v>126</v>
      </c>
      <c r="F42" s="49">
        <f>resumo!F42</f>
        <v>124.26</v>
      </c>
      <c r="G42" s="23">
        <f t="shared" si="2"/>
        <v>15656.76</v>
      </c>
      <c r="H42" s="22"/>
      <c r="J42" s="63"/>
      <c r="K42" s="60"/>
    </row>
    <row r="43" spans="1:11" ht="15" customHeight="1" x14ac:dyDescent="0.2">
      <c r="A43" s="68" t="s">
        <v>112</v>
      </c>
      <c r="B43" s="69" t="s">
        <v>23</v>
      </c>
      <c r="C43" s="20" t="s">
        <v>123</v>
      </c>
      <c r="D43" s="21" t="s">
        <v>3</v>
      </c>
      <c r="E43" s="59">
        <v>9</v>
      </c>
      <c r="F43" s="49">
        <f>resumo!F43</f>
        <v>188.04</v>
      </c>
      <c r="G43" s="23">
        <f t="shared" si="2"/>
        <v>1692.36</v>
      </c>
      <c r="H43" s="22"/>
      <c r="J43" s="63"/>
      <c r="K43" s="60"/>
    </row>
    <row r="44" spans="1:11" ht="15" customHeight="1" x14ac:dyDescent="0.2">
      <c r="A44" s="68" t="s">
        <v>113</v>
      </c>
      <c r="B44" s="69" t="s">
        <v>23</v>
      </c>
      <c r="C44" s="20" t="s">
        <v>124</v>
      </c>
      <c r="D44" s="21" t="s">
        <v>3</v>
      </c>
      <c r="E44" s="59">
        <v>43</v>
      </c>
      <c r="F44" s="49">
        <f>resumo!F44</f>
        <v>302.02</v>
      </c>
      <c r="G44" s="23">
        <f t="shared" si="2"/>
        <v>12986.86</v>
      </c>
      <c r="H44" s="22"/>
      <c r="J44" s="63"/>
      <c r="K44" s="60"/>
    </row>
    <row r="45" spans="1:11" ht="15" customHeight="1" x14ac:dyDescent="0.2">
      <c r="A45" s="68" t="s">
        <v>121</v>
      </c>
      <c r="B45" s="69" t="s">
        <v>23</v>
      </c>
      <c r="C45" s="20" t="s">
        <v>125</v>
      </c>
      <c r="D45" s="21" t="s">
        <v>3</v>
      </c>
      <c r="E45" s="59">
        <v>8</v>
      </c>
      <c r="F45" s="49">
        <f>resumo!F45</f>
        <v>428.92</v>
      </c>
      <c r="G45" s="23">
        <f t="shared" si="2"/>
        <v>3431.36</v>
      </c>
      <c r="H45" s="22"/>
      <c r="J45" s="63"/>
      <c r="K45" s="60"/>
    </row>
    <row r="46" spans="1:11" ht="15" customHeight="1" thickBot="1" x14ac:dyDescent="0.25">
      <c r="A46" s="68" t="s">
        <v>6</v>
      </c>
      <c r="B46" s="69" t="s">
        <v>23</v>
      </c>
      <c r="C46" s="20" t="s">
        <v>94</v>
      </c>
      <c r="D46" s="21" t="s">
        <v>5</v>
      </c>
      <c r="E46" s="59">
        <v>30</v>
      </c>
      <c r="F46" s="49">
        <f>resumo!F46</f>
        <v>1684</v>
      </c>
      <c r="G46" s="23">
        <f t="shared" si="2"/>
        <v>50520</v>
      </c>
      <c r="H46" s="22"/>
      <c r="J46" s="63"/>
      <c r="K46" s="60"/>
    </row>
    <row r="47" spans="1:11" ht="54.95" customHeight="1" thickBot="1" x14ac:dyDescent="0.25">
      <c r="A47" s="37" t="s">
        <v>127</v>
      </c>
      <c r="B47" s="38"/>
      <c r="C47" s="58" t="s">
        <v>103</v>
      </c>
      <c r="D47" s="34" t="s">
        <v>98</v>
      </c>
      <c r="E47" s="34"/>
      <c r="F47" s="34"/>
      <c r="G47" s="35"/>
      <c r="H47" s="36">
        <f>SUM(G48:G55)</f>
        <v>2790.4</v>
      </c>
      <c r="J47" s="63"/>
    </row>
    <row r="48" spans="1:11" ht="27.95" customHeight="1" x14ac:dyDescent="0.2">
      <c r="A48" s="68" t="s">
        <v>47</v>
      </c>
      <c r="B48" s="69" t="s">
        <v>22</v>
      </c>
      <c r="C48" s="20" t="s">
        <v>48</v>
      </c>
      <c r="D48" s="21" t="s">
        <v>5</v>
      </c>
      <c r="E48" s="59">
        <v>5</v>
      </c>
      <c r="F48" s="49">
        <f>resumo!F48</f>
        <v>58.05</v>
      </c>
      <c r="G48" s="23">
        <f t="shared" ref="G48:G55" si="3">IF(ISBLANK(E48),0,ROUND(E48*F48,2))</f>
        <v>290.25</v>
      </c>
      <c r="H48" s="22"/>
      <c r="J48" s="63"/>
    </row>
    <row r="49" spans="1:10" ht="27.95" customHeight="1" x14ac:dyDescent="0.2">
      <c r="A49" s="68" t="s">
        <v>47</v>
      </c>
      <c r="B49" s="69" t="s">
        <v>22</v>
      </c>
      <c r="C49" s="20" t="s">
        <v>49</v>
      </c>
      <c r="D49" s="21" t="s">
        <v>5</v>
      </c>
      <c r="E49" s="59">
        <v>10</v>
      </c>
      <c r="F49" s="49">
        <f>resumo!F49</f>
        <v>58.05</v>
      </c>
      <c r="G49" s="23">
        <f t="shared" si="3"/>
        <v>580.5</v>
      </c>
      <c r="H49" s="22"/>
      <c r="J49" s="63"/>
    </row>
    <row r="50" spans="1:10" ht="15" customHeight="1" x14ac:dyDescent="0.2">
      <c r="A50" s="68" t="s">
        <v>50</v>
      </c>
      <c r="B50" s="69" t="s">
        <v>22</v>
      </c>
      <c r="C50" s="20" t="s">
        <v>51</v>
      </c>
      <c r="D50" s="21" t="s">
        <v>5</v>
      </c>
      <c r="E50" s="59">
        <v>5</v>
      </c>
      <c r="F50" s="49">
        <f>resumo!F50</f>
        <v>82.93</v>
      </c>
      <c r="G50" s="23">
        <f t="shared" si="3"/>
        <v>414.65</v>
      </c>
      <c r="H50" s="22"/>
      <c r="J50" s="63"/>
    </row>
    <row r="51" spans="1:10" ht="15" customHeight="1" x14ac:dyDescent="0.2">
      <c r="A51" s="68" t="s">
        <v>52</v>
      </c>
      <c r="B51" s="69" t="s">
        <v>22</v>
      </c>
      <c r="C51" s="18" t="s">
        <v>53</v>
      </c>
      <c r="D51" s="21" t="s">
        <v>5</v>
      </c>
      <c r="E51" s="59">
        <v>5</v>
      </c>
      <c r="F51" s="49">
        <f>resumo!F51</f>
        <v>124.4</v>
      </c>
      <c r="G51" s="23">
        <f t="shared" si="3"/>
        <v>622</v>
      </c>
      <c r="H51" s="22"/>
      <c r="J51" s="63"/>
    </row>
    <row r="52" spans="1:10" ht="15" customHeight="1" x14ac:dyDescent="0.2">
      <c r="A52" s="68" t="s">
        <v>54</v>
      </c>
      <c r="B52" s="69" t="s">
        <v>22</v>
      </c>
      <c r="C52" s="20" t="s">
        <v>55</v>
      </c>
      <c r="D52" s="21" t="s">
        <v>5</v>
      </c>
      <c r="E52" s="59">
        <v>5</v>
      </c>
      <c r="F52" s="49">
        <f>resumo!F52</f>
        <v>74.63</v>
      </c>
      <c r="G52" s="23">
        <f t="shared" si="3"/>
        <v>373.15</v>
      </c>
      <c r="H52" s="22"/>
      <c r="J52" s="63"/>
    </row>
    <row r="53" spans="1:10" ht="15" customHeight="1" x14ac:dyDescent="0.2">
      <c r="A53" s="68" t="s">
        <v>56</v>
      </c>
      <c r="B53" s="69" t="s">
        <v>22</v>
      </c>
      <c r="C53" s="20" t="s">
        <v>57</v>
      </c>
      <c r="D53" s="21" t="s">
        <v>5</v>
      </c>
      <c r="E53" s="59">
        <v>5</v>
      </c>
      <c r="F53" s="49">
        <f>resumo!F53</f>
        <v>60.82</v>
      </c>
      <c r="G53" s="23">
        <f t="shared" si="3"/>
        <v>304.10000000000002</v>
      </c>
      <c r="H53" s="22"/>
      <c r="J53" s="63"/>
    </row>
    <row r="54" spans="1:10" ht="15" customHeight="1" x14ac:dyDescent="0.2">
      <c r="A54" s="68"/>
      <c r="B54" s="69" t="s">
        <v>58</v>
      </c>
      <c r="C54" s="20" t="s">
        <v>96</v>
      </c>
      <c r="D54" s="21" t="s">
        <v>5</v>
      </c>
      <c r="E54" s="59">
        <v>5</v>
      </c>
      <c r="F54" s="49">
        <f>resumo!F54</f>
        <v>41.15</v>
      </c>
      <c r="G54" s="23">
        <f t="shared" si="3"/>
        <v>205.75</v>
      </c>
      <c r="H54" s="22"/>
      <c r="J54" s="63"/>
    </row>
    <row r="55" spans="1:10" ht="27.95" customHeight="1" thickBot="1" x14ac:dyDescent="0.25">
      <c r="A55" s="68">
        <v>72872</v>
      </c>
      <c r="B55" s="69" t="s">
        <v>22</v>
      </c>
      <c r="C55" s="20" t="s">
        <v>95</v>
      </c>
      <c r="D55" s="21" t="s">
        <v>59</v>
      </c>
      <c r="E55" s="59"/>
      <c r="F55" s="49">
        <f>resumo!F55</f>
        <v>3043.18</v>
      </c>
      <c r="G55" s="23">
        <f t="shared" si="3"/>
        <v>0</v>
      </c>
      <c r="H55" s="22"/>
      <c r="J55" s="63"/>
    </row>
    <row r="56" spans="1:10" ht="15" customHeight="1" thickBot="1" x14ac:dyDescent="0.25">
      <c r="A56" s="14" t="s">
        <v>11</v>
      </c>
      <c r="B56" s="15"/>
      <c r="C56" s="16" t="s">
        <v>45</v>
      </c>
      <c r="D56" s="13"/>
      <c r="E56" s="17"/>
      <c r="F56" s="17"/>
      <c r="G56" s="12">
        <f>SUBTOTAL(9,G7:G55)</f>
        <v>742145.77999999991</v>
      </c>
      <c r="H56" s="12">
        <f>SUBTOTAL(9,H7:H55)</f>
        <v>742145.78000000014</v>
      </c>
    </row>
    <row r="58" spans="1:10" x14ac:dyDescent="0.2">
      <c r="H58" s="63"/>
    </row>
    <row r="59" spans="1:10" x14ac:dyDescent="0.2">
      <c r="H59" s="60"/>
    </row>
    <row r="60" spans="1:10" x14ac:dyDescent="0.2">
      <c r="H60" s="60"/>
    </row>
    <row r="61" spans="1:10" x14ac:dyDescent="0.2">
      <c r="H61" s="60"/>
    </row>
  </sheetData>
  <mergeCells count="1">
    <mergeCell ref="C4:H4"/>
  </mergeCells>
  <pageMargins left="0.25" right="0.25" top="0.75" bottom="0.75" header="0.3" footer="0.3"/>
  <pageSetup paperSize="9" scale="72" orientation="portrait" r:id="rId1"/>
  <headerFooter alignWithMargins="0"/>
  <ignoredErrors>
    <ignoredError sqref="H2:H3 A7:A63" numberStoredAsText="1"/>
    <ignoredError sqref="F8:F6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cronograma</vt:lpstr>
      <vt:lpstr>resumo</vt:lpstr>
      <vt:lpstr>leonor</vt:lpstr>
      <vt:lpstr>alice</vt:lpstr>
      <vt:lpstr>jose</vt:lpstr>
      <vt:lpstr>juvencio</vt:lpstr>
      <vt:lpstr>alice!Area_de_impressao</vt:lpstr>
      <vt:lpstr>cronograma!Area_de_impressao</vt:lpstr>
      <vt:lpstr>jose!Area_de_impressao</vt:lpstr>
      <vt:lpstr>juvencio!Area_de_impressao</vt:lpstr>
      <vt:lpstr>leonor!Area_de_impressao</vt:lpstr>
      <vt:lpstr>resumo!Area_de_impressao</vt:lpstr>
      <vt:lpstr>alice!Titulos_de_impressao</vt:lpstr>
      <vt:lpstr>jose!Titulos_de_impressao</vt:lpstr>
      <vt:lpstr>juvencio!Titulos_de_impressao</vt:lpstr>
      <vt:lpstr>leonor!Titulos_de_impressao</vt:lpstr>
      <vt:lpstr>resumo!Titulos_de_impressao</vt:lpstr>
    </vt:vector>
  </TitlesOfParts>
  <Company>PARANACIDADE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Ruy  José da Costa</dc:creator>
  <cp:lastModifiedBy>Usuário do Windows</cp:lastModifiedBy>
  <cp:lastPrinted>2018-12-04T11:59:45Z</cp:lastPrinted>
  <dcterms:created xsi:type="dcterms:W3CDTF">2008-09-16T14:08:54Z</dcterms:created>
  <dcterms:modified xsi:type="dcterms:W3CDTF">2018-12-04T12:02:35Z</dcterms:modified>
</cp:coreProperties>
</file>